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05" windowWidth="12120" windowHeight="8715" activeTab="0"/>
  </bookViews>
  <sheets>
    <sheet name="Лист1" sheetId="1" r:id="rId1"/>
  </sheets>
  <definedNames>
    <definedName name="_xlnm.Print_Titles" localSheetId="0">'Лист1'!$7:$9</definedName>
    <definedName name="_xlnm.Print_Area" localSheetId="0">'Лист1'!$A$1:$M$227</definedName>
  </definedNames>
  <calcPr fullCalcOnLoad="1"/>
</workbook>
</file>

<file path=xl/sharedStrings.xml><?xml version="1.0" encoding="utf-8"?>
<sst xmlns="http://schemas.openxmlformats.org/spreadsheetml/2006/main" count="327" uniqueCount="266">
  <si>
    <t>НАЗВА</t>
  </si>
  <si>
    <t>ДОХОДИ</t>
  </si>
  <si>
    <t>Загальний фонд</t>
  </si>
  <si>
    <t>Інші надходження</t>
  </si>
  <si>
    <t>Спеціальний фонд</t>
  </si>
  <si>
    <t>ВИДАТКИ</t>
  </si>
  <si>
    <t>Державне управління</t>
  </si>
  <si>
    <t>Освіта</t>
  </si>
  <si>
    <t>Охорона здоров’я</t>
  </si>
  <si>
    <t>Соціальний захист та соціальне забезпечення</t>
  </si>
  <si>
    <t>Культура і містецтво</t>
  </si>
  <si>
    <t>Резервний фонд</t>
  </si>
  <si>
    <t>РАЗОМ ВИДАТКІВ ЗАГАЛЬНОГО ФОНДУ</t>
  </si>
  <si>
    <t>РАЗОМ ВИДАТКІВ СПЕЦІАЛЬНОГО ФОНДУ</t>
  </si>
  <si>
    <t>ВСЬОГО ВИДАТКІВ</t>
  </si>
  <si>
    <t>Перевищення доходів над видатками</t>
  </si>
  <si>
    <t>010000</t>
  </si>
  <si>
    <t>ВСЬОГО ДОХОДІВ</t>
  </si>
  <si>
    <t>РАЗОМ ДОХОДІВ СПЕЦІАЛЬНОГО ФОНДУ</t>
  </si>
  <si>
    <t>РАЗОМ ДОХОДІВ ЗАГАЛЬНОГО ФОНДУ</t>
  </si>
  <si>
    <t xml:space="preserve"> </t>
  </si>
  <si>
    <t>090209</t>
  </si>
  <si>
    <t>Інші пільги гром. які постражд. внаслід Чорноб катастрофи</t>
  </si>
  <si>
    <t>Фізична культура і спорт</t>
  </si>
  <si>
    <t xml:space="preserve">Інші субвенції </t>
  </si>
  <si>
    <t>250339</t>
  </si>
  <si>
    <t xml:space="preserve">Субвенція з ДБ місцевим бюджетам на заходи з енергозбереження, у т. ч.оснащення інженерних вводів засобами обліку споживання води, будівницво газопроводів і газифікацію населених пунктів </t>
  </si>
  <si>
    <t>250380</t>
  </si>
  <si>
    <t>грн.</t>
  </si>
  <si>
    <t>Внески органів місцевого самоврядування у статутні фонди суб’єктів підприємницької діяльності</t>
  </si>
  <si>
    <t>Податок на прибуток підприємств</t>
  </si>
  <si>
    <t>Субвенція з державного бюджету на фінансування у 2008 році Програм-переможців Всеукраїнського конкурсу проектів та програм розвитку місцевого самоврядування 2007 року</t>
  </si>
  <si>
    <t>250382</t>
  </si>
  <si>
    <t>Додаткова дотація з ДБ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у повному обсязі</t>
  </si>
  <si>
    <t>250319</t>
  </si>
  <si>
    <t>ВСЬОГО ДОХОДІВ ЗАГАЛЬНОГО ФОНДУ БЕЗ УРАХУВАННЯ ТРАНСФЕРТІВ</t>
  </si>
  <si>
    <t>Офіційні трансферти</t>
  </si>
  <si>
    <t>РАЗОМ ТРАНСФЕРТИ</t>
  </si>
  <si>
    <t xml:space="preserve">Код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</si>
  <si>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</si>
  <si>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250388</t>
  </si>
  <si>
    <t>Надходження від орендної плати за користування цілісним майновим комплексом та іншим державним майном</t>
  </si>
  <si>
    <t>Надходження від плати за послуги, що надаються бюджетними установами згідно із законодавством</t>
  </si>
  <si>
    <t>Податок на прибуток підприємств та фінансових установ комунальної власності</t>
  </si>
  <si>
    <t>Надходження від орендної плати за користування цілісним майновим комплексом та іншим майном, що перебуває в комунальній власності</t>
  </si>
  <si>
    <t>Плата за послуги, що надаються бюджетними установами згідно з їх основною діяльністю</t>
  </si>
  <si>
    <t>080300</t>
  </si>
  <si>
    <t>080600</t>
  </si>
  <si>
    <t>Поліклініки і амбулаторії (крім спеціалізованих поліклінік та загальних і спеціалізованих стоматологічних поліклінік) </t>
  </si>
  <si>
    <t>Фельдшерсько-акушерські пункти </t>
  </si>
  <si>
    <t>Проведення навчально-тренувальних зборів і змагань з неолімпійських видів спорту</t>
  </si>
  <si>
    <t>Податок на доходи фізичних осіб, що сплачується фізичними особами за результатами річного декларування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</si>
  <si>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</si>
  <si>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Податок на доходи фізичних осіб, що сплачується податковими агентами, із доходів платника податку інших ніж заробітна плата</t>
  </si>
  <si>
    <t>250354</t>
  </si>
  <si>
    <t>Власні надходження бюджетних установ</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</si>
  <si>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</si>
  <si>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 </t>
  </si>
  <si>
    <t>Податок на доходи фізичних осіб з грошового забезпечення, грошових винагород та інших виплат , одержаних військовослужбовцями та особами для рядового і начальницького складу, що сплачується податковими агентами</t>
  </si>
  <si>
    <t>Освітня субвенція з державного бюджету місцевим бюджетам</t>
  </si>
  <si>
    <t>Медична субвенція з державного бюджету місцевим бюджетам</t>
  </si>
  <si>
    <t>Плата за надання адміністративних послуг</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</si>
  <si>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</si>
  <si>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</si>
  <si>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0100</t>
  </si>
  <si>
    <t>1000</t>
  </si>
  <si>
    <t>1020</t>
  </si>
  <si>
    <t>1090</t>
  </si>
  <si>
    <t>2000</t>
  </si>
  <si>
    <t>2010</t>
  </si>
  <si>
    <t>Багатопрофільна стаціонарна медична допомога населенню</t>
  </si>
  <si>
    <t>3000</t>
  </si>
  <si>
    <t>4000</t>
  </si>
  <si>
    <t>4030</t>
  </si>
  <si>
    <t>4060</t>
  </si>
  <si>
    <t>5000</t>
  </si>
  <si>
    <t>5012</t>
  </si>
  <si>
    <t xml:space="preserve">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   </t>
  </si>
  <si>
    <t xml:space="preserve">Частина чистого прибутку (доходу) комунальних унітарних підприємств та їх об’єднань, що вилучається до відповідного місцевого бюджету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</si>
  <si>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</si>
  <si>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</si>
  <si>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</si>
  <si>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природного газу</t>
  </si>
  <si>
    <t>Рентна плата за користування надрами для видобування газового конденсату</t>
  </si>
  <si>
    <t>Акцизний податок з реалізації суб`єктами господарювання роздрібної торгівлі підакцизних товарів</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</si>
  <si>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</si>
  <si>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</si>
  <si>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</si>
  <si>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</si>
  <si>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</si>
  <si>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</si>
  <si>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</si>
  <si>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</si>
  <si>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</si>
  <si>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</si>
  <si>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</si>
  <si>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</si>
  <si>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</si>
  <si>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</si>
  <si>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</si>
  <si>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</si>
  <si>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</si>
  <si>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</si>
  <si>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Інші податки та збори</t>
  </si>
  <si>
    <t>Плата за надання інших адміністративних послуг</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</si>
  <si>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</si>
  <si>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</si>
  <si>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</si>
  <si>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</si>
  <si>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Субвенція з місцевого бюджету за рахунок залишку коштів освітньої субвенції, що утворився на початок бюджетного періоду </t>
  </si>
  <si>
    <t>Субвенція з місцевого бюджету за рахунок залишку коштів медичної субвенції, що утворився на початок бюджетного періоду (передані з районного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</si>
  <si>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</si>
  <si>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виконання інвестиційних проектів</t>
  </si>
  <si>
    <t>Інші субвенції з місцевого бюджету</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</si>
  <si>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 - на капітальний ремонт огороджувальних конструкцій Ново-Іванівського будинку культури Коломацького району Харківської області (передані з районного бюджету)</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</si>
  <si>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</si>
  <si>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</si>
  <si>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Пальне</t>
  </si>
  <si>
    <t>Транспортний податок з фізичних осіб</t>
  </si>
  <si>
    <t>Адміністративні штрафи та інші санкції</t>
  </si>
  <si>
    <t>Інші неподаткові надходження</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</si>
  <si>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</si>
  <si>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t>
  </si>
  <si>
    <t>1010</t>
  </si>
  <si>
    <t>Надання дошкільної освіти</t>
  </si>
  <si>
    <t>1100</t>
  </si>
  <si>
    <t>Надання спеціальної освіти школами естетичного виховання (музичними, художніми, хореографічними, театральними, хоровими, мистецькими)</t>
  </si>
  <si>
    <t>1150</t>
  </si>
  <si>
    <t>1161</t>
  </si>
  <si>
    <t>Забезпечення діяльності інших закладів у сфері освіти</t>
  </si>
  <si>
    <t>1162</t>
  </si>
  <si>
    <t>Інші програми та заходи у сфері освіти</t>
  </si>
  <si>
    <t>2111</t>
  </si>
  <si>
    <t>Первинна медична допомога населенню, що надається центрами первинної медичної медико-санітарної( допомоги)</t>
  </si>
  <si>
    <t>2144</t>
  </si>
  <si>
    <t>Централізовані заходи з лікування хворих на цукровий та нецукровий діабет</t>
  </si>
  <si>
    <t>2146</t>
  </si>
  <si>
    <t>Відшкодування вартості лікарських засобів для лікування окремих захворювань</t>
  </si>
  <si>
    <t>3210</t>
  </si>
  <si>
    <t>Організація та проведення громадських робіт</t>
  </si>
  <si>
    <t>3241</t>
  </si>
  <si>
    <t>Забезпечення діяльності інших закладів у сфері соціального захисту і соціального забезпечення</t>
  </si>
  <si>
    <t>3242</t>
  </si>
  <si>
    <t>Інші заходи у сфері соціального захисту і соціального забезпечення</t>
  </si>
  <si>
    <t>Забезпечення діяльності бібліотек</t>
  </si>
  <si>
    <t>Забезпечення діяльності палаців i будинків культури, клубів, центрів дозвілля та iнших клубних закладів</t>
  </si>
  <si>
    <t>4081</t>
  </si>
  <si>
    <t>Забезпечення діяльності  iнших закладів в галузі культури і мистецтва</t>
  </si>
  <si>
    <t>4082</t>
  </si>
  <si>
    <t>Інші заходи в галузі культури і мистецтва</t>
  </si>
  <si>
    <t>6000</t>
  </si>
  <si>
    <t>Житлово-комунальне господарство</t>
  </si>
  <si>
    <t>6013</t>
  </si>
  <si>
    <t>6030</t>
  </si>
  <si>
    <t>6071</t>
  </si>
  <si>
    <t>Забезпечення діяльності водопровідно-каналізаційного господарства</t>
  </si>
  <si>
    <t>Організація благоустрою населених пунктів</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</si>
  <si>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</si>
  <si>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7000</t>
  </si>
  <si>
    <t>Економічна діяльність</t>
  </si>
  <si>
    <t>7368</t>
  </si>
  <si>
    <t>7370</t>
  </si>
  <si>
    <t>7442</t>
  </si>
  <si>
    <t>7691</t>
  </si>
  <si>
    <t>Виконання інвестиційних проектів за рахунок субвенцій з інших бюджетів</t>
  </si>
  <si>
    <t>Реалізація інших заходів щодо соціально-економічного розвитку територій</t>
  </si>
  <si>
    <t>Утримання та розвиток інших об’єктів транспортної інфраструктури</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</si>
  <si>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</si>
  <si>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8700</t>
  </si>
  <si>
    <t>9410</t>
  </si>
  <si>
    <t>9770</t>
  </si>
  <si>
    <t xml:space="preserve">Субвенція з місцевого бюджету на здійснення переданих видатків у сфері охорони здоров’я за рахунок коштів медичної субвенції </t>
  </si>
  <si>
    <t>8311</t>
  </si>
  <si>
    <t>Охорона та раціональне використання природних ресурсів</t>
  </si>
  <si>
    <t>Акцизний податок з ввезених на митну територію України підакцизних товарів (продукції) </t>
  </si>
  <si>
    <t>Акцизний податок з вироблених в Україні підакцизних товарів (продукції)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</si>
  <si>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</si>
  <si>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Інші джерела власних надходжень бюджетних установ  </t>
  </si>
  <si>
    <t>Державне мито, пов’язане з видачею та оформленням закордонних паспортів (посвідок) та паспортів громадян України</t>
  </si>
  <si>
    <t>Плата за оренду майна в бюджетних установах</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</si>
  <si>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</si>
  <si>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</si>
  <si>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Нерозподілені видатки</t>
  </si>
  <si>
    <t>План на вказаний період</t>
  </si>
  <si>
    <t>Виконано за звітний період</t>
  </si>
  <si>
    <t>до вказаного періоду</t>
  </si>
  <si>
    <t>% виконання</t>
  </si>
  <si>
    <t xml:space="preserve"> +/- відхилення </t>
  </si>
  <si>
    <t>на вказаний період</t>
  </si>
  <si>
    <t>%</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</si>
  <si>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</si>
  <si>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 xml:space="preserve">Державне мито, не віднесене до інших категорій </t>
  </si>
  <si>
    <t>Субвенція з державного бюджету місцевим бюджетам на формування інфраструктури об'єднаних територіальних громад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</si>
  <si>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</si>
  <si>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</si>
  <si>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</si>
  <si>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7322</t>
  </si>
  <si>
    <t>Будівництво медичних установ та закладів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</si>
  <si>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</si>
  <si>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</si>
  <si>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</si>
  <si>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7362</t>
  </si>
  <si>
    <t>Виконання інвестиційних проектів в рамках формування інфраструктури об`єднаних територіальних громад</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</si>
  <si>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</si>
  <si>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7680</t>
  </si>
  <si>
    <t>Членські внески до асоціацій органів місцевого самовряування</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</si>
  <si>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</si>
  <si>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</si>
  <si>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7130</t>
  </si>
  <si>
    <t>Здійснення заходів із землеустрою</t>
  </si>
  <si>
    <t>7367</t>
  </si>
  <si>
    <t xml:space="preserve">Виконання інвестиційних проектів в рамках реалізації заходів, спрямованих на розвиток системи охорони здоров’я у сільській місцевості - на будівництво амбулаторії загальної практики сімейної  медицини за адресою: вул. Пушкіна, 17а, с. Шелестове, Коломацький район, Харківська область </t>
  </si>
  <si>
    <t>7461</t>
  </si>
  <si>
    <t>7462</t>
  </si>
  <si>
    <t>Утримання та розвиток автомобільних доріг та дорожньої інфраструктури за рахунок коштів місцевого бюджету</t>
  </si>
  <si>
    <t>Субвенція з місцевого бюджету на співфінансування інвестиційних проектів</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</si>
  <si>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кінець 2017 року</t>
  </si>
  <si>
    <t>Надходження бюджетних установ від реалізації в установленому порядку майна (крім нерухомого майна)</t>
  </si>
  <si>
    <t>7363</t>
  </si>
  <si>
    <t xml:space="preserve">Виконання інвестиційних проектів в рамках здійснення заходів щодо соціально-економічного розвитку окремих територій </t>
  </si>
  <si>
    <t>Податки та збори, не віднесені до інших категорій</t>
  </si>
  <si>
    <t>19090000</t>
  </si>
  <si>
    <t>19090100</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</si>
  <si>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</si>
  <si>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9110</t>
  </si>
  <si>
    <t>Реверсна дотація</t>
  </si>
  <si>
    <t>1170</t>
  </si>
  <si>
    <t>Забезпечення діяльності інклюзивно-ресурсних центрів</t>
  </si>
  <si>
    <t>Утримання та розаиток автомобільних доріг та дорожньої інфраструктури за рахунок коштів місцевого бюджету</t>
  </si>
  <si>
    <t>Надходження/Видатки</t>
  </si>
  <si>
    <t>Рентна плата за користування надрами для видобування корисних копалин загальнодержавного значення</t>
  </si>
  <si>
    <t>Субвенція з місцевого бюджету на здійснення переданих видатків у сфері освіти за рахунок коштів освітньої субвенції</t>
  </si>
  <si>
    <t>ВСЬОГО ДОХОДІВ СПЕЦІАЛЬНОГО ФОНДУ (БЕЗ УРАХУВАННЯ ТРАНСФЕРТІВ)</t>
  </si>
  <si>
    <t>Рентна плата за спеціальне використання лісових ресурсів в частині деревини, заготовленої в порядку рубок головного користування</t>
  </si>
  <si>
    <t>7350</t>
  </si>
  <si>
    <t>Розроблення схем планування та забудови територій (містобудівної документації)</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</si>
  <si>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</si>
  <si>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</si>
  <si>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</si>
  <si>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Частина чистого прибутку (доходу) комунальних унітарних підприємств та їх об`єднань, що вилучається до відповідного місцевого бюджету</t>
  </si>
  <si>
    <t xml:space="preserve">                                                                                            Оперативна Інформація                                                                        </t>
  </si>
  <si>
    <t xml:space="preserve"> про виконання селищного бюджету Коломацької селищної об’єднаної територіальної громади</t>
  </si>
  <si>
    <t>НЕРУХОМЕ МАЙНО</t>
  </si>
  <si>
    <t>Субвенція з місцевого бюджету державному бюджету на виконання програм соціально-економічного розвитку регіонів</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</si>
  <si>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</si>
  <si>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Затверджений план на 2020 рік</t>
  </si>
  <si>
    <t>Затверджений план з урахуванням змін на 2020 рік</t>
  </si>
  <si>
    <t>до плану на 2020 рік з урахуванням змін</t>
  </si>
  <si>
    <t>Різниця з відповідними надходженнями/видатками 2019 року</t>
  </si>
  <si>
    <t>Відповідний період 2019 року</t>
  </si>
  <si>
    <t>Надання спеціальної освіти мистецькими школами</t>
  </si>
  <si>
    <t>Надання загальної середньої освіти закладами загальної середньої освіти ( у тому числі з дошкільними підрозділами (відділеннями, групами))</t>
  </si>
  <si>
    <t xml:space="preserve">Методичне забезпечення діяльності закладів освіти </t>
  </si>
  <si>
    <t>7150</t>
  </si>
  <si>
    <t>Реалізація програм у галузі лісового господарства і мисливства</t>
  </si>
  <si>
    <t>9800</t>
  </si>
  <si>
    <t xml:space="preserve">Утримання та розвиток автомобільних доріг та дорожньої інфраструктури за рахунок субвенції з державного бюджету </t>
  </si>
  <si>
    <t>Кошти від відчуження майна, що належить Автономній Республіці Крим та майна, що перебуває в комунальній власності  </t>
  </si>
  <si>
    <t>ПЛАТА ЗА ЗЕМЛЮ</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</si>
  <si>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</si>
  <si>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Кошти від продажу землі</t>
  </si>
  <si>
    <t xml:space="preserve">Житлово-комунальне господарство </t>
  </si>
  <si>
    <t>Субвенція з місцевого бюджету на проведення виборів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</si>
  <si>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</si>
  <si>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</si>
  <si>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за січень-листопад 2020 року</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</si>
</sst>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
    <numFmt numFmtId="186" formatCode="[$-FC19]d\ mmmm\ yyyy\ &quot;г.&quot;"/>
  </numFmts>
  <fonts count="34">
    <font>
      <sz val="12"/>
      <name val="Arial Cyr"/>
      <family val="0"/>
    </font>
    <font>
      <sz val="14"/>
      <name val="Arial Cyr"/>
      <family val="2"/>
    </font>
    <font>
      <u val="single"/>
      <sz val="9"/>
      <color indexed="12"/>
      <name val="Arial Cyr"/>
      <family val="0"/>
    </font>
    <font>
      <u val="single"/>
      <sz val="9"/>
      <color indexed="36"/>
      <name val="Arial Cyr"/>
      <family val="0"/>
    </font>
    <font>
      <sz val="12"/>
      <name val="Arial"/>
      <family val="2"/>
    </font>
    <font>
      <sz val="14"/>
      <name val="Arial"/>
      <family val="2"/>
    </font>
    <font>
      <sz val="10"/>
      <name val="Arial Cyr"/>
      <family val="0"/>
    </font>
    <font>
      <b/>
      <sz val="14"/>
      <name val="Arial"/>
      <family val="2"/>
    </font>
    <font>
      <b/>
      <i/>
      <sz val="14"/>
      <name val="Arial"/>
      <family val="2"/>
    </font>
    <font>
      <b/>
      <sz val="14"/>
      <name val="Arial Cyr"/>
      <family val="0"/>
    </font>
    <font>
      <sz val="14"/>
      <color indexed="10"/>
      <name val="Arial"/>
      <family val="2"/>
    </font>
    <font>
      <sz val="14"/>
      <color indexed="10"/>
      <name val="Arial Cyr"/>
      <family val="0"/>
    </font>
    <font>
      <sz val="10"/>
      <name val="Times New Roman"/>
      <family val="1"/>
    </font>
    <font>
      <b/>
      <sz val="14"/>
      <color indexed="8"/>
      <name val="Arial Cyr"/>
      <family val="0"/>
    </font>
    <font>
      <b/>
      <sz val="14"/>
      <color indexed="8"/>
      <name val="Arial"/>
      <family val="2"/>
    </font>
    <font>
      <sz val="14"/>
      <color indexed="8"/>
      <name val="Arial"/>
      <family val="2"/>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2"/>
      <color indexed="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8"/>
      </left>
      <right>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6" fillId="0" borderId="0">
      <alignment/>
      <protection/>
    </xf>
    <xf numFmtId="0" fontId="12" fillId="0" borderId="0">
      <alignment/>
      <protection/>
    </xf>
    <xf numFmtId="0" fontId="12" fillId="0" borderId="0">
      <alignment/>
      <protection/>
    </xf>
    <xf numFmtId="0" fontId="12" fillId="0" borderId="0">
      <alignment/>
      <protection/>
    </xf>
    <xf numFmtId="0" fontId="3"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4" borderId="0" applyNumberFormat="0" applyBorder="0" applyAlignment="0" applyProtection="0"/>
  </cellStyleXfs>
  <cellXfs count="153">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xf>
    <xf numFmtId="0" fontId="5" fillId="0" borderId="0" xfId="0" applyFont="1" applyAlignment="1" applyProtection="1">
      <alignment/>
      <protection locked="0"/>
    </xf>
    <xf numFmtId="0" fontId="0" fillId="0" borderId="0" xfId="0" applyFont="1" applyAlignment="1" applyProtection="1">
      <alignment/>
      <protection locked="0"/>
    </xf>
    <xf numFmtId="180" fontId="5" fillId="20" borderId="10" xfId="0" applyNumberFormat="1" applyFont="1" applyFill="1" applyBorder="1" applyAlignment="1" applyProtection="1">
      <alignment horizontal="right"/>
      <protection/>
    </xf>
    <xf numFmtId="3" fontId="5" fillId="20" borderId="10" xfId="0" applyNumberFormat="1" applyFont="1" applyFill="1" applyBorder="1" applyAlignment="1" applyProtection="1">
      <alignment horizontal="right"/>
      <protection/>
    </xf>
    <xf numFmtId="0" fontId="5" fillId="0" borderId="10" xfId="0" applyFont="1" applyBorder="1" applyAlignment="1" applyProtection="1">
      <alignment horizontal="center" vertical="center"/>
      <protection locked="0"/>
    </xf>
    <xf numFmtId="0" fontId="1" fillId="0" borderId="0" xfId="0" applyFont="1" applyAlignment="1" applyProtection="1">
      <alignment/>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top"/>
      <protection locked="0"/>
    </xf>
    <xf numFmtId="0" fontId="7"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10" xfId="0" applyFont="1" applyBorder="1" applyAlignment="1" applyProtection="1">
      <alignment vertical="center" wrapText="1"/>
      <protection locked="0"/>
    </xf>
    <xf numFmtId="0" fontId="5" fillId="0" borderId="10" xfId="0" applyFont="1" applyBorder="1" applyAlignment="1">
      <alignment vertical="center" wrapText="1"/>
    </xf>
    <xf numFmtId="0" fontId="5" fillId="0" borderId="10" xfId="0" applyFont="1" applyBorder="1" applyAlignment="1" applyProtection="1">
      <alignment vertical="center" wrapText="1"/>
      <protection locked="0"/>
    </xf>
    <xf numFmtId="0" fontId="7" fillId="0" borderId="10" xfId="0" applyFont="1" applyBorder="1" applyAlignment="1">
      <alignment vertical="center" wrapText="1"/>
    </xf>
    <xf numFmtId="0" fontId="7" fillId="0" borderId="10" xfId="0" applyFont="1" applyBorder="1" applyAlignment="1" applyProtection="1">
      <alignment vertical="center"/>
      <protection locked="0"/>
    </xf>
    <xf numFmtId="0" fontId="9" fillId="0" borderId="10" xfId="0" applyFont="1" applyFill="1" applyBorder="1" applyAlignment="1">
      <alignment vertical="center" wrapText="1"/>
    </xf>
    <xf numFmtId="0" fontId="1" fillId="0" borderId="10" xfId="0" applyFont="1" applyFill="1" applyBorder="1" applyAlignment="1">
      <alignment horizontal="left" wrapText="1"/>
    </xf>
    <xf numFmtId="0" fontId="1" fillId="0" borderId="10" xfId="0" applyFont="1" applyFill="1" applyBorder="1" applyAlignment="1">
      <alignment vertical="center" wrapText="1"/>
    </xf>
    <xf numFmtId="0" fontId="1" fillId="24" borderId="10" xfId="0" applyFont="1" applyFill="1" applyBorder="1" applyAlignment="1">
      <alignment vertical="center" wrapText="1"/>
    </xf>
    <xf numFmtId="0" fontId="5" fillId="0" borderId="10" xfId="0" applyFont="1" applyBorder="1" applyAlignment="1">
      <alignment vertical="center"/>
    </xf>
    <xf numFmtId="0" fontId="7" fillId="0" borderId="10" xfId="0" applyFont="1" applyBorder="1" applyAlignment="1">
      <alignment vertical="center"/>
    </xf>
    <xf numFmtId="0" fontId="11" fillId="0" borderId="0" xfId="0" applyFont="1" applyAlignment="1" applyProtection="1">
      <alignment/>
      <protection locked="0"/>
    </xf>
    <xf numFmtId="0" fontId="5" fillId="0" borderId="10" xfId="0" applyFont="1" applyBorder="1" applyAlignment="1" applyProtection="1">
      <alignment vertical="center"/>
      <protection locked="0"/>
    </xf>
    <xf numFmtId="0" fontId="7" fillId="0" borderId="10" xfId="0" applyFont="1" applyBorder="1" applyAlignment="1" applyProtection="1">
      <alignment horizontal="left" vertical="center" wrapText="1"/>
      <protection locked="0"/>
    </xf>
    <xf numFmtId="3" fontId="7" fillId="20" borderId="10" xfId="0" applyNumberFormat="1" applyFont="1" applyFill="1" applyBorder="1" applyAlignment="1" applyProtection="1">
      <alignment horizontal="right"/>
      <protection/>
    </xf>
    <xf numFmtId="0" fontId="1" fillId="0" borderId="10" xfId="0" applyFont="1" applyBorder="1" applyAlignment="1">
      <alignment vertical="center" wrapText="1"/>
    </xf>
    <xf numFmtId="0" fontId="9" fillId="0" borderId="0" xfId="0" applyFont="1" applyAlignment="1" applyProtection="1">
      <alignment/>
      <protection locked="0"/>
    </xf>
    <xf numFmtId="0" fontId="7" fillId="0" borderId="10" xfId="0" applyFont="1" applyBorder="1" applyAlignment="1" applyProtection="1">
      <alignment horizontal="center" vertical="top"/>
      <protection locked="0"/>
    </xf>
    <xf numFmtId="0" fontId="1" fillId="0" borderId="10" xfId="0" applyFont="1" applyBorder="1" applyAlignment="1">
      <alignment vertical="center"/>
    </xf>
    <xf numFmtId="0" fontId="1" fillId="0" borderId="10" xfId="0" applyNumberFormat="1" applyFont="1" applyBorder="1" applyAlignment="1">
      <alignment vertical="center" wrapText="1"/>
    </xf>
    <xf numFmtId="0" fontId="9" fillId="0" borderId="10" xfId="0" applyFont="1" applyBorder="1" applyAlignment="1">
      <alignment vertical="center" wrapText="1"/>
    </xf>
    <xf numFmtId="49" fontId="7" fillId="0" borderId="10"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2" fontId="5" fillId="0" borderId="10" xfId="0" applyNumberFormat="1" applyFont="1" applyBorder="1" applyAlignment="1">
      <alignment vertical="center" wrapText="1"/>
    </xf>
    <xf numFmtId="0" fontId="9" fillId="0" borderId="10" xfId="53" applyFont="1" applyFill="1" applyBorder="1" applyAlignment="1" applyProtection="1">
      <alignment vertical="center" wrapText="1"/>
      <protection/>
    </xf>
    <xf numFmtId="0" fontId="5" fillId="0" borderId="10" xfId="0" applyFont="1" applyBorder="1" applyAlignment="1" applyProtection="1">
      <alignment horizontal="left" vertical="top" wrapText="1"/>
      <protection locked="0"/>
    </xf>
    <xf numFmtId="0" fontId="5" fillId="0" borderId="10" xfId="0" applyNumberFormat="1"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0" xfId="0" applyFont="1" applyBorder="1" applyAlignment="1" applyProtection="1">
      <alignment wrapText="1"/>
      <protection locked="0"/>
    </xf>
    <xf numFmtId="0" fontId="1" fillId="0" borderId="10" xfId="53" applyFont="1" applyFill="1" applyBorder="1" applyAlignment="1" applyProtection="1">
      <alignment vertical="center" wrapText="1"/>
      <protection/>
    </xf>
    <xf numFmtId="180" fontId="7" fillId="20" borderId="10" xfId="0" applyNumberFormat="1" applyFont="1" applyFill="1" applyBorder="1" applyAlignment="1" applyProtection="1">
      <alignment horizontal="right"/>
      <protection/>
    </xf>
    <xf numFmtId="0" fontId="5" fillId="0" borderId="0" xfId="0" applyFont="1" applyAlignment="1" applyProtection="1">
      <alignment horizontal="center"/>
      <protection locked="0"/>
    </xf>
    <xf numFmtId="0" fontId="5" fillId="0" borderId="0" xfId="0" applyFont="1" applyAlignment="1" applyProtection="1">
      <alignment vertical="center"/>
      <protection locked="0"/>
    </xf>
    <xf numFmtId="0" fontId="1" fillId="0" borderId="0" xfId="0" applyFont="1" applyAlignment="1" applyProtection="1">
      <alignment horizontal="center"/>
      <protection locked="0"/>
    </xf>
    <xf numFmtId="0" fontId="0" fillId="0" borderId="10" xfId="0" applyFont="1" applyBorder="1" applyAlignment="1" applyProtection="1">
      <alignment/>
      <protection locked="0"/>
    </xf>
    <xf numFmtId="0" fontId="1" fillId="0" borderId="10" xfId="0" applyFont="1" applyBorder="1" applyAlignment="1" applyProtection="1">
      <alignment/>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3" fontId="1" fillId="0" borderId="10" xfId="0" applyNumberFormat="1" applyFont="1" applyBorder="1" applyAlignment="1" applyProtection="1">
      <alignment/>
      <protection locked="0"/>
    </xf>
    <xf numFmtId="3" fontId="1" fillId="20" borderId="10" xfId="0" applyNumberFormat="1" applyFont="1" applyFill="1" applyBorder="1" applyAlignment="1" applyProtection="1">
      <alignment/>
      <protection locked="0"/>
    </xf>
    <xf numFmtId="180" fontId="5" fillId="0" borderId="10" xfId="0" applyNumberFormat="1" applyFont="1" applyFill="1" applyBorder="1" applyAlignment="1" applyProtection="1">
      <alignment vertical="top"/>
      <protection/>
    </xf>
    <xf numFmtId="0" fontId="1" fillId="0" borderId="10" xfId="0" applyFont="1" applyFill="1" applyBorder="1" applyAlignment="1" applyProtection="1">
      <alignment/>
      <protection locked="0"/>
    </xf>
    <xf numFmtId="180" fontId="1" fillId="20" borderId="10" xfId="0" applyNumberFormat="1" applyFont="1" applyFill="1" applyBorder="1" applyAlignment="1" applyProtection="1">
      <alignment/>
      <protection locked="0"/>
    </xf>
    <xf numFmtId="3" fontId="7" fillId="0" borderId="10" xfId="0" applyNumberFormat="1" applyFont="1" applyFill="1" applyBorder="1" applyAlignment="1" applyProtection="1">
      <alignment horizontal="right"/>
      <protection/>
    </xf>
    <xf numFmtId="3" fontId="5" fillId="0" borderId="10" xfId="0" applyNumberFormat="1" applyFont="1" applyFill="1" applyBorder="1" applyAlignment="1" applyProtection="1">
      <alignment horizontal="right"/>
      <protection/>
    </xf>
    <xf numFmtId="4" fontId="5" fillId="20" borderId="10" xfId="0" applyNumberFormat="1" applyFont="1" applyFill="1" applyBorder="1" applyAlignment="1" applyProtection="1">
      <alignment horizontal="right"/>
      <protection/>
    </xf>
    <xf numFmtId="0" fontId="9" fillId="0" borderId="10" xfId="0" applyFont="1" applyFill="1" applyBorder="1" applyAlignment="1">
      <alignment vertical="top" wrapText="1"/>
    </xf>
    <xf numFmtId="180" fontId="5" fillId="0" borderId="10" xfId="0" applyNumberFormat="1" applyFont="1" applyFill="1" applyBorder="1" applyAlignment="1" applyProtection="1">
      <alignment horizontal="right"/>
      <protection/>
    </xf>
    <xf numFmtId="0" fontId="1" fillId="0" borderId="10" xfId="0" applyFont="1" applyBorder="1" applyAlignment="1">
      <alignment/>
    </xf>
    <xf numFmtId="0" fontId="1" fillId="0" borderId="10" xfId="0" applyFont="1" applyBorder="1" applyAlignment="1">
      <alignment wrapText="1"/>
    </xf>
    <xf numFmtId="1" fontId="7" fillId="0" borderId="10" xfId="55" applyNumberFormat="1" applyFont="1" applyBorder="1" applyAlignment="1">
      <alignment vertical="center"/>
      <protection/>
    </xf>
    <xf numFmtId="0" fontId="9" fillId="0" borderId="0" xfId="0" applyFont="1" applyAlignment="1" applyProtection="1">
      <alignment vertical="center"/>
      <protection locked="0"/>
    </xf>
    <xf numFmtId="1" fontId="5" fillId="0" borderId="10" xfId="55" applyNumberFormat="1" applyFont="1" applyBorder="1" applyAlignment="1">
      <alignment vertical="center"/>
      <protection/>
    </xf>
    <xf numFmtId="0" fontId="1" fillId="0" borderId="0" xfId="0" applyFont="1" applyAlignment="1" applyProtection="1">
      <alignment vertical="center"/>
      <protection locked="0"/>
    </xf>
    <xf numFmtId="0" fontId="7" fillId="0" borderId="10" xfId="0" applyFont="1" applyBorder="1" applyAlignment="1">
      <alignment wrapText="1"/>
    </xf>
    <xf numFmtId="0" fontId="7" fillId="0" borderId="10" xfId="0" applyFont="1" applyFill="1" applyBorder="1" applyAlignment="1" applyProtection="1">
      <alignment vertical="center" wrapText="1"/>
      <protection hidden="1"/>
    </xf>
    <xf numFmtId="0" fontId="5" fillId="0" borderId="10" xfId="0" applyFont="1" applyFill="1" applyBorder="1" applyAlignment="1" applyProtection="1">
      <alignment vertical="center" wrapText="1"/>
      <protection hidden="1"/>
    </xf>
    <xf numFmtId="0" fontId="5" fillId="0" borderId="10" xfId="0" applyFont="1" applyBorder="1" applyAlignment="1" applyProtection="1">
      <alignment horizontal="left" vertical="center" wrapText="1"/>
      <protection locked="0"/>
    </xf>
    <xf numFmtId="0" fontId="1" fillId="0" borderId="10" xfId="0" applyFont="1" applyFill="1" applyBorder="1" applyAlignment="1">
      <alignment vertical="center" wrapText="1"/>
    </xf>
    <xf numFmtId="0" fontId="1" fillId="0" borderId="10" xfId="0" applyNumberFormat="1" applyFont="1" applyFill="1" applyBorder="1" applyAlignment="1">
      <alignment vertical="center" wrapText="1"/>
    </xf>
    <xf numFmtId="2" fontId="5" fillId="0" borderId="10" xfId="0" applyNumberFormat="1" applyFont="1" applyBorder="1" applyAlignment="1">
      <alignment/>
    </xf>
    <xf numFmtId="3" fontId="9" fillId="20" borderId="10" xfId="0" applyNumberFormat="1" applyFont="1" applyFill="1" applyBorder="1" applyAlignment="1" applyProtection="1">
      <alignment horizontal="right"/>
      <protection locked="0"/>
    </xf>
    <xf numFmtId="3" fontId="1" fillId="0" borderId="10" xfId="0" applyNumberFormat="1" applyFont="1" applyFill="1" applyBorder="1" applyAlignment="1" applyProtection="1">
      <alignment horizontal="right"/>
      <protection locked="0"/>
    </xf>
    <xf numFmtId="0" fontId="9" fillId="0" borderId="10" xfId="0" applyFont="1" applyFill="1" applyBorder="1" applyAlignment="1">
      <alignment horizontal="left" wrapText="1"/>
    </xf>
    <xf numFmtId="3" fontId="9" fillId="0" borderId="0" xfId="0" applyNumberFormat="1" applyFont="1" applyAlignment="1" applyProtection="1">
      <alignment/>
      <protection locked="0"/>
    </xf>
    <xf numFmtId="3" fontId="1" fillId="0" borderId="0" xfId="0" applyNumberFormat="1" applyFont="1" applyAlignment="1" applyProtection="1">
      <alignment/>
      <protection locked="0"/>
    </xf>
    <xf numFmtId="0" fontId="10" fillId="0" borderId="10" xfId="0" applyFont="1" applyBorder="1" applyAlignment="1" applyProtection="1">
      <alignment horizontal="center" vertical="top"/>
      <protection locked="0"/>
    </xf>
    <xf numFmtId="180" fontId="10" fillId="20" borderId="10" xfId="0" applyNumberFormat="1" applyFont="1" applyFill="1" applyBorder="1" applyAlignment="1" applyProtection="1">
      <alignment horizontal="right"/>
      <protection/>
    </xf>
    <xf numFmtId="3" fontId="10" fillId="20" borderId="10" xfId="0" applyNumberFormat="1" applyFont="1" applyFill="1" applyBorder="1" applyAlignment="1" applyProtection="1">
      <alignment horizontal="right"/>
      <protection/>
    </xf>
    <xf numFmtId="3" fontId="11" fillId="20" borderId="10" xfId="0" applyNumberFormat="1" applyFont="1" applyFill="1" applyBorder="1" applyAlignment="1" applyProtection="1">
      <alignment/>
      <protection locked="0"/>
    </xf>
    <xf numFmtId="180" fontId="11" fillId="20" borderId="10" xfId="0" applyNumberFormat="1" applyFont="1" applyFill="1" applyBorder="1" applyAlignment="1" applyProtection="1">
      <alignment/>
      <protection locked="0"/>
    </xf>
    <xf numFmtId="3" fontId="1" fillId="20" borderId="10" xfId="0" applyNumberFormat="1" applyFont="1" applyFill="1" applyBorder="1" applyAlignment="1" applyProtection="1">
      <alignment horizontal="right"/>
      <protection locked="0"/>
    </xf>
    <xf numFmtId="180" fontId="9" fillId="20" borderId="10" xfId="0" applyNumberFormat="1" applyFont="1" applyFill="1" applyBorder="1" applyAlignment="1" applyProtection="1">
      <alignment horizontal="right"/>
      <protection locked="0"/>
    </xf>
    <xf numFmtId="180" fontId="1" fillId="20" borderId="10" xfId="0" applyNumberFormat="1" applyFont="1" applyFill="1" applyBorder="1" applyAlignment="1" applyProtection="1">
      <alignment horizontal="right"/>
      <protection locked="0"/>
    </xf>
    <xf numFmtId="3" fontId="9" fillId="0" borderId="10" xfId="0" applyNumberFormat="1" applyFont="1" applyFill="1" applyBorder="1" applyAlignment="1" applyProtection="1">
      <alignment horizontal="right"/>
      <protection locked="0"/>
    </xf>
    <xf numFmtId="180" fontId="1" fillId="0" borderId="10" xfId="0" applyNumberFormat="1" applyFont="1" applyFill="1" applyBorder="1" applyAlignment="1" applyProtection="1">
      <alignment horizontal="right"/>
      <protection locked="0"/>
    </xf>
    <xf numFmtId="49" fontId="5" fillId="0" borderId="10" xfId="0" applyNumberFormat="1" applyFont="1" applyFill="1" applyBorder="1" applyAlignment="1" applyProtection="1">
      <alignment horizontal="center" vertical="center"/>
      <protection locked="0"/>
    </xf>
    <xf numFmtId="2" fontId="5" fillId="0" borderId="10" xfId="0" applyNumberFormat="1" applyFont="1" applyFill="1" applyBorder="1" applyAlignment="1">
      <alignment vertical="center" wrapText="1"/>
    </xf>
    <xf numFmtId="0" fontId="0"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180" fontId="5" fillId="0" borderId="10" xfId="0" applyNumberFormat="1" applyFont="1" applyFill="1" applyBorder="1" applyAlignment="1" applyProtection="1">
      <alignment vertical="top"/>
      <protection locked="0"/>
    </xf>
    <xf numFmtId="3" fontId="7" fillId="0" borderId="10" xfId="0" applyNumberFormat="1" applyFont="1" applyFill="1" applyBorder="1" applyAlignment="1" applyProtection="1">
      <alignment horizontal="right"/>
      <protection locked="0"/>
    </xf>
    <xf numFmtId="3" fontId="5" fillId="0" borderId="10" xfId="0" applyNumberFormat="1" applyFont="1" applyFill="1" applyBorder="1" applyAlignment="1" applyProtection="1">
      <alignment horizontal="right"/>
      <protection locked="0"/>
    </xf>
    <xf numFmtId="3" fontId="5" fillId="0" borderId="10" xfId="0" applyNumberFormat="1" applyFont="1" applyFill="1" applyBorder="1" applyAlignment="1">
      <alignment horizontal="right"/>
    </xf>
    <xf numFmtId="0" fontId="5" fillId="0" borderId="0" xfId="0" applyFont="1" applyFill="1" applyAlignment="1" applyProtection="1">
      <alignment/>
      <protection locked="0"/>
    </xf>
    <xf numFmtId="0" fontId="1" fillId="0" borderId="0" xfId="0" applyFont="1" applyFill="1" applyAlignment="1" applyProtection="1">
      <alignment/>
      <protection locked="0"/>
    </xf>
    <xf numFmtId="3" fontId="0" fillId="0" borderId="0" xfId="0" applyNumberFormat="1" applyFont="1" applyFill="1" applyAlignment="1" applyProtection="1">
      <alignment/>
      <protection locked="0"/>
    </xf>
    <xf numFmtId="0" fontId="1"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protection locked="0"/>
    </xf>
    <xf numFmtId="3" fontId="13" fillId="0" borderId="10" xfId="0" applyNumberFormat="1" applyFont="1" applyFill="1" applyBorder="1" applyAlignment="1" applyProtection="1">
      <alignment horizontal="right" wrapText="1"/>
      <protection/>
    </xf>
    <xf numFmtId="3" fontId="1" fillId="0" borderId="10" xfId="56" applyNumberFormat="1" applyFont="1" applyFill="1" applyBorder="1" applyAlignment="1">
      <alignment horizontal="right"/>
      <protection/>
    </xf>
    <xf numFmtId="3" fontId="5" fillId="0" borderId="10" xfId="54" applyNumberFormat="1" applyFont="1" applyFill="1" applyBorder="1" applyAlignment="1">
      <alignment horizontal="right"/>
      <protection/>
    </xf>
    <xf numFmtId="3" fontId="9" fillId="0" borderId="10" xfId="0" applyNumberFormat="1" applyFont="1" applyFill="1" applyBorder="1" applyAlignment="1" applyProtection="1">
      <alignment horizontal="right"/>
      <protection/>
    </xf>
    <xf numFmtId="3" fontId="11" fillId="0" borderId="10" xfId="0" applyNumberFormat="1" applyFont="1" applyFill="1" applyBorder="1" applyAlignment="1" applyProtection="1">
      <alignment/>
      <protection locked="0"/>
    </xf>
    <xf numFmtId="3" fontId="1" fillId="0" borderId="10" xfId="0" applyNumberFormat="1" applyFont="1" applyFill="1" applyBorder="1" applyAlignment="1" applyProtection="1">
      <alignment/>
      <protection locked="0"/>
    </xf>
    <xf numFmtId="0" fontId="0" fillId="0" borderId="0" xfId="0" applyFont="1" applyFill="1" applyAlignment="1" applyProtection="1">
      <alignment/>
      <protection locked="0"/>
    </xf>
    <xf numFmtId="3" fontId="5" fillId="0" borderId="10" xfId="0" applyNumberFormat="1" applyFont="1" applyFill="1" applyBorder="1" applyAlignment="1" applyProtection="1">
      <alignment horizontal="right" wrapText="1"/>
      <protection/>
    </xf>
    <xf numFmtId="3" fontId="5" fillId="0" borderId="10" xfId="0" applyNumberFormat="1" applyFont="1" applyBorder="1" applyAlignment="1" applyProtection="1">
      <alignment horizontal="right" wrapText="1"/>
      <protection/>
    </xf>
    <xf numFmtId="3" fontId="7" fillId="0" borderId="10" xfId="0" applyNumberFormat="1" applyFont="1" applyFill="1" applyBorder="1" applyAlignment="1" applyProtection="1">
      <alignment horizontal="right" wrapText="1"/>
      <protection/>
    </xf>
    <xf numFmtId="3" fontId="9" fillId="0" borderId="10" xfId="55" applyNumberFormat="1" applyFont="1" applyFill="1" applyBorder="1" applyAlignment="1">
      <alignment horizontal="right"/>
      <protection/>
    </xf>
    <xf numFmtId="3" fontId="1" fillId="0" borderId="10" xfId="55" applyNumberFormat="1" applyFont="1" applyFill="1" applyBorder="1" applyAlignment="1">
      <alignment horizontal="right"/>
      <protection/>
    </xf>
    <xf numFmtId="3" fontId="7" fillId="0" borderId="10" xfId="54" applyNumberFormat="1" applyFont="1" applyFill="1" applyBorder="1" applyAlignment="1">
      <alignment horizontal="right"/>
      <protection/>
    </xf>
    <xf numFmtId="3" fontId="9" fillId="0" borderId="10" xfId="0" applyNumberFormat="1" applyFont="1" applyFill="1" applyBorder="1" applyAlignment="1" applyProtection="1">
      <alignment/>
      <protection locked="0"/>
    </xf>
    <xf numFmtId="3" fontId="9" fillId="20" borderId="10" xfId="0" applyNumberFormat="1" applyFont="1" applyFill="1" applyBorder="1" applyAlignment="1" applyProtection="1">
      <alignment/>
      <protection locked="0"/>
    </xf>
    <xf numFmtId="180" fontId="9" fillId="20" borderId="10" xfId="0" applyNumberFormat="1" applyFont="1" applyFill="1" applyBorder="1" applyAlignment="1" applyProtection="1">
      <alignment/>
      <protection locked="0"/>
    </xf>
    <xf numFmtId="0" fontId="5" fillId="0" borderId="10" xfId="0" applyFont="1" applyFill="1" applyBorder="1" applyAlignment="1">
      <alignment vertical="center" wrapText="1"/>
    </xf>
    <xf numFmtId="180" fontId="1" fillId="0" borderId="10" xfId="0" applyNumberFormat="1" applyFont="1" applyFill="1" applyBorder="1" applyAlignment="1" applyProtection="1">
      <alignment/>
      <protection locked="0"/>
    </xf>
    <xf numFmtId="3" fontId="15" fillId="0" borderId="10" xfId="0" applyNumberFormat="1" applyFont="1" applyBorder="1" applyAlignment="1" applyProtection="1">
      <alignment horizontal="right" wrapText="1"/>
      <protection/>
    </xf>
    <xf numFmtId="3" fontId="14" fillId="0" borderId="10" xfId="0" applyNumberFormat="1" applyFont="1" applyBorder="1" applyAlignment="1" applyProtection="1">
      <alignment horizontal="right" wrapText="1"/>
      <protection/>
    </xf>
    <xf numFmtId="3" fontId="5" fillId="0" borderId="10" xfId="56" applyNumberFormat="1" applyFont="1" applyBorder="1" applyAlignment="1">
      <alignment horizontal="right"/>
      <protection/>
    </xf>
    <xf numFmtId="3" fontId="7" fillId="0" borderId="10" xfId="56" applyNumberFormat="1" applyFont="1" applyBorder="1" applyAlignment="1">
      <alignment horizontal="right"/>
      <protection/>
    </xf>
    <xf numFmtId="3" fontId="5" fillId="0" borderId="10" xfId="0" applyNumberFormat="1" applyFont="1" applyBorder="1" applyAlignment="1" applyProtection="1">
      <alignment horizontal="right"/>
      <protection locked="0"/>
    </xf>
    <xf numFmtId="3" fontId="1" fillId="0" borderId="10" xfId="0" applyNumberFormat="1" applyFont="1" applyBorder="1" applyAlignment="1">
      <alignment/>
    </xf>
    <xf numFmtId="3" fontId="5" fillId="0" borderId="11" xfId="0" applyNumberFormat="1" applyFont="1" applyBorder="1" applyAlignment="1">
      <alignment/>
    </xf>
    <xf numFmtId="3" fontId="5" fillId="0" borderId="10" xfId="0" applyNumberFormat="1" applyFont="1" applyBorder="1" applyAlignment="1">
      <alignment/>
    </xf>
    <xf numFmtId="3" fontId="5" fillId="0" borderId="0" xfId="0" applyNumberFormat="1" applyFont="1" applyBorder="1" applyAlignment="1">
      <alignment/>
    </xf>
    <xf numFmtId="3" fontId="1" fillId="0" borderId="10" xfId="0" applyNumberFormat="1" applyFont="1" applyBorder="1" applyAlignment="1">
      <alignment horizontal="right"/>
    </xf>
    <xf numFmtId="3" fontId="5" fillId="0" borderId="12" xfId="0" applyNumberFormat="1" applyFont="1" applyBorder="1" applyAlignment="1">
      <alignment/>
    </xf>
    <xf numFmtId="49"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lignment vertical="center" wrapText="1"/>
    </xf>
    <xf numFmtId="180" fontId="7" fillId="0" borderId="10" xfId="0" applyNumberFormat="1" applyFont="1" applyFill="1" applyBorder="1" applyAlignment="1" applyProtection="1">
      <alignment horizontal="right"/>
      <protection/>
    </xf>
    <xf numFmtId="180" fontId="9" fillId="0" borderId="10" xfId="0" applyNumberFormat="1" applyFont="1" applyFill="1" applyBorder="1" applyAlignment="1" applyProtection="1">
      <alignment/>
      <protection locked="0"/>
    </xf>
    <xf numFmtId="0" fontId="9" fillId="0" borderId="0" xfId="0" applyFont="1" applyFill="1" applyAlignment="1" applyProtection="1">
      <alignment/>
      <protection locked="0"/>
    </xf>
    <xf numFmtId="3" fontId="14" fillId="0" borderId="13" xfId="0" applyNumberFormat="1" applyFont="1" applyBorder="1" applyAlignment="1" applyProtection="1">
      <alignment horizontal="right" vertical="top" wrapText="1"/>
      <protection/>
    </xf>
    <xf numFmtId="3" fontId="15" fillId="0" borderId="13" xfId="0" applyNumberFormat="1" applyFont="1" applyBorder="1" applyAlignment="1" applyProtection="1">
      <alignment horizontal="right" vertical="top" wrapText="1"/>
      <protection/>
    </xf>
    <xf numFmtId="3" fontId="15" fillId="0" borderId="13" xfId="0" applyNumberFormat="1" applyFont="1" applyBorder="1" applyAlignment="1" applyProtection="1">
      <alignment horizontal="right" wrapText="1"/>
      <protection/>
    </xf>
    <xf numFmtId="0" fontId="33" fillId="0" borderId="0" xfId="0" applyFont="1" applyFill="1" applyAlignment="1" applyProtection="1">
      <alignment/>
      <protection locked="0"/>
    </xf>
    <xf numFmtId="0" fontId="10" fillId="0" borderId="0" xfId="0" applyFont="1" applyFill="1" applyAlignment="1" applyProtection="1">
      <alignment/>
      <protection locked="0"/>
    </xf>
    <xf numFmtId="0" fontId="11" fillId="0" borderId="0" xfId="0" applyFont="1" applyFill="1" applyAlignment="1" applyProtection="1">
      <alignment/>
      <protection locked="0"/>
    </xf>
    <xf numFmtId="3" fontId="7" fillId="0" borderId="10" xfId="0" applyNumberFormat="1" applyFont="1" applyBorder="1" applyAlignment="1" applyProtection="1">
      <alignment horizontal="right" wrapText="1"/>
      <protection/>
    </xf>
    <xf numFmtId="3" fontId="0" fillId="0" borderId="0" xfId="0" applyNumberFormat="1" applyFont="1" applyAlignment="1" applyProtection="1">
      <alignment horizontal="right"/>
      <protection locked="0"/>
    </xf>
    <xf numFmtId="0" fontId="0" fillId="0" borderId="0" xfId="0" applyFont="1" applyAlignment="1" applyProtection="1">
      <alignment horizontal="right"/>
      <protection locked="0"/>
    </xf>
    <xf numFmtId="0" fontId="1" fillId="0" borderId="10" xfId="0" applyFont="1" applyBorder="1" applyAlignment="1" applyProtection="1">
      <alignment horizontal="center"/>
      <protection locked="0"/>
    </xf>
    <xf numFmtId="0" fontId="5" fillId="0" borderId="10" xfId="0" applyFont="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0" fontId="0" fillId="0" borderId="0" xfId="0" applyBorder="1" applyAlignment="1" applyProtection="1">
      <alignment horizontal="center"/>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8" xfId="53"/>
    <cellStyle name="Обычный_doh_sf" xfId="54"/>
    <cellStyle name="Обычный_doh_zf" xfId="55"/>
    <cellStyle name="Обычный_zv_mis"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3"/>
  <sheetViews>
    <sheetView showZeros="0" tabSelected="1" view="pageBreakPreview" zoomScale="60" zoomScaleNormal="75" zoomScalePageLayoutView="0" workbookViewId="0" topLeftCell="A1">
      <pane xSplit="2" ySplit="9" topLeftCell="C217" activePane="bottomRight" state="frozen"/>
      <selection pane="topLeft" activeCell="A1" sqref="A1"/>
      <selection pane="topRight" activeCell="C1" sqref="C1"/>
      <selection pane="bottomLeft" activeCell="A8" sqref="A8"/>
      <selection pane="bottomRight" activeCell="E9" sqref="E9"/>
    </sheetView>
  </sheetViews>
  <sheetFormatPr defaultColWidth="8.796875" defaultRowHeight="15"/>
  <cols>
    <col min="1" max="1" width="10.59765625" style="2" customWidth="1"/>
    <col min="2" max="2" width="71.3984375" style="1" customWidth="1"/>
    <col min="3" max="3" width="15" style="111" customWidth="1"/>
    <col min="4" max="4" width="16.296875" style="111" customWidth="1"/>
    <col min="5" max="5" width="14.69921875" style="142" customWidth="1"/>
    <col min="6" max="6" width="14.09765625" style="111" customWidth="1"/>
    <col min="7" max="7" width="11.8984375" style="1" customWidth="1"/>
    <col min="8" max="8" width="13.59765625" style="1" customWidth="1"/>
    <col min="9" max="9" width="13.19921875" style="1" customWidth="1"/>
    <col min="10" max="10" width="14.296875" style="1" customWidth="1"/>
    <col min="11" max="11" width="15.09765625" style="111" customWidth="1"/>
    <col min="12" max="12" width="16.09765625" style="1" customWidth="1"/>
    <col min="13" max="13" width="12.19921875" style="1" customWidth="1"/>
    <col min="14" max="14" width="9.69921875" style="1" bestFit="1" customWidth="1"/>
    <col min="15" max="16384" width="8.8984375" style="1" customWidth="1"/>
  </cols>
  <sheetData>
    <row r="1" spans="3:13" ht="15">
      <c r="C1" s="94"/>
      <c r="D1" s="94"/>
      <c r="F1" s="94"/>
      <c r="J1" s="146"/>
      <c r="K1" s="147"/>
      <c r="L1" s="147"/>
      <c r="M1" s="147"/>
    </row>
    <row r="2" spans="3:13" ht="15">
      <c r="C2" s="94"/>
      <c r="D2" s="94"/>
      <c r="F2" s="94"/>
      <c r="J2" s="147"/>
      <c r="K2" s="147"/>
      <c r="L2" s="147"/>
      <c r="M2" s="147"/>
    </row>
    <row r="3" spans="1:11" ht="18">
      <c r="A3" s="150" t="s">
        <v>240</v>
      </c>
      <c r="B3" s="150"/>
      <c r="C3" s="150"/>
      <c r="D3" s="150"/>
      <c r="E3" s="150"/>
      <c r="F3" s="150"/>
      <c r="G3" s="150"/>
      <c r="H3" s="150"/>
      <c r="I3" s="150"/>
      <c r="J3" s="150"/>
      <c r="K3" s="94"/>
    </row>
    <row r="4" spans="1:11" ht="18">
      <c r="A4" s="150" t="s">
        <v>241</v>
      </c>
      <c r="B4" s="150"/>
      <c r="C4" s="150"/>
      <c r="D4" s="150"/>
      <c r="E4" s="150"/>
      <c r="F4" s="150"/>
      <c r="G4" s="150"/>
      <c r="H4" s="150"/>
      <c r="I4" s="150"/>
      <c r="J4" s="150"/>
      <c r="K4" s="102"/>
    </row>
    <row r="5" spans="1:11" ht="18">
      <c r="A5" s="150" t="s">
        <v>265</v>
      </c>
      <c r="B5" s="150"/>
      <c r="C5" s="150"/>
      <c r="D5" s="150"/>
      <c r="E5" s="150"/>
      <c r="F5" s="150"/>
      <c r="G5" s="150"/>
      <c r="H5" s="150"/>
      <c r="I5" s="150"/>
      <c r="J5" s="150"/>
      <c r="K5" s="102"/>
    </row>
    <row r="6" spans="3:11" ht="15">
      <c r="C6" s="94"/>
      <c r="D6" s="94"/>
      <c r="F6" s="102"/>
      <c r="I6" s="152" t="s">
        <v>28</v>
      </c>
      <c r="J6" s="152"/>
      <c r="K6" s="94"/>
    </row>
    <row r="7" spans="1:13" ht="24.75" customHeight="1">
      <c r="A7" s="149" t="s">
        <v>38</v>
      </c>
      <c r="B7" s="149" t="s">
        <v>0</v>
      </c>
      <c r="C7" s="151" t="s">
        <v>245</v>
      </c>
      <c r="D7" s="151" t="s">
        <v>246</v>
      </c>
      <c r="E7" s="151" t="s">
        <v>183</v>
      </c>
      <c r="F7" s="151" t="s">
        <v>184</v>
      </c>
      <c r="G7" s="149" t="s">
        <v>186</v>
      </c>
      <c r="H7" s="149"/>
      <c r="I7" s="149" t="s">
        <v>187</v>
      </c>
      <c r="J7" s="149"/>
      <c r="K7" s="148" t="s">
        <v>249</v>
      </c>
      <c r="L7" s="148"/>
      <c r="M7" s="148"/>
    </row>
    <row r="8" spans="1:13" s="6" customFormat="1" ht="105.75" customHeight="1">
      <c r="A8" s="149"/>
      <c r="B8" s="149"/>
      <c r="C8" s="151"/>
      <c r="D8" s="151"/>
      <c r="E8" s="151"/>
      <c r="F8" s="151"/>
      <c r="G8" s="11" t="s">
        <v>188</v>
      </c>
      <c r="H8" s="11" t="s">
        <v>247</v>
      </c>
      <c r="I8" s="11" t="s">
        <v>185</v>
      </c>
      <c r="J8" s="11" t="s">
        <v>247</v>
      </c>
      <c r="K8" s="103" t="s">
        <v>229</v>
      </c>
      <c r="L8" s="52" t="s">
        <v>248</v>
      </c>
      <c r="M8" s="53" t="s">
        <v>189</v>
      </c>
    </row>
    <row r="9" spans="1:13" s="6" customFormat="1" ht="15">
      <c r="A9" s="3">
        <v>1</v>
      </c>
      <c r="B9" s="3">
        <v>2</v>
      </c>
      <c r="C9" s="95">
        <v>3</v>
      </c>
      <c r="D9" s="95">
        <v>4</v>
      </c>
      <c r="E9" s="95">
        <v>5</v>
      </c>
      <c r="F9" s="95">
        <v>6</v>
      </c>
      <c r="G9" s="4">
        <v>7</v>
      </c>
      <c r="H9" s="4">
        <v>8</v>
      </c>
      <c r="I9" s="4">
        <v>9</v>
      </c>
      <c r="J9" s="4">
        <v>10</v>
      </c>
      <c r="K9" s="104"/>
      <c r="L9" s="50"/>
      <c r="M9" s="50"/>
    </row>
    <row r="10" spans="1:13" s="10" customFormat="1" ht="18">
      <c r="A10" s="12"/>
      <c r="B10" s="13" t="s">
        <v>1</v>
      </c>
      <c r="C10" s="96"/>
      <c r="D10" s="96"/>
      <c r="E10" s="96"/>
      <c r="F10" s="96"/>
      <c r="G10" s="56"/>
      <c r="H10" s="56" t="str">
        <f>IF(E10=0," ",F10/E10*100)</f>
        <v> </v>
      </c>
      <c r="I10" s="56"/>
      <c r="J10" s="56"/>
      <c r="K10" s="57"/>
      <c r="L10" s="57"/>
      <c r="M10" s="51"/>
    </row>
    <row r="11" spans="1:13" s="10" customFormat="1" ht="18.75">
      <c r="A11" s="12"/>
      <c r="B11" s="14" t="s">
        <v>2</v>
      </c>
      <c r="C11" s="96"/>
      <c r="D11" s="96"/>
      <c r="E11" s="96"/>
      <c r="F11" s="96"/>
      <c r="G11" s="56"/>
      <c r="H11" s="56" t="str">
        <f>IF(E11=0," ",F11/E11*100)</f>
        <v> </v>
      </c>
      <c r="I11" s="56"/>
      <c r="J11" s="56"/>
      <c r="K11" s="57"/>
      <c r="L11" s="57"/>
      <c r="M11" s="51"/>
    </row>
    <row r="12" spans="1:13" s="32" customFormat="1" ht="21" customHeight="1">
      <c r="A12" s="15">
        <v>11010000</v>
      </c>
      <c r="B12" s="16" t="s">
        <v>56</v>
      </c>
      <c r="C12" s="97">
        <f>C13+C14+C15+C16</f>
        <v>22866190</v>
      </c>
      <c r="D12" s="97">
        <f>D13+D14+D15+D16</f>
        <v>22343890</v>
      </c>
      <c r="E12" s="97">
        <f>E13+E14+E15+E16</f>
        <v>19902051</v>
      </c>
      <c r="F12" s="97">
        <f>F13+F14+F15+F16</f>
        <v>19321848.09</v>
      </c>
      <c r="G12" s="46">
        <f>F12/E12%</f>
        <v>97.08470795296424</v>
      </c>
      <c r="H12" s="46">
        <f>F12/D12%</f>
        <v>86.47486221065357</v>
      </c>
      <c r="I12" s="30">
        <f aca="true" t="shared" si="0" ref="I12:I17">F12-E12</f>
        <v>-580202.9100000001</v>
      </c>
      <c r="J12" s="30">
        <f aca="true" t="shared" si="1" ref="J12:J69">F12-D12</f>
        <v>-3022041.91</v>
      </c>
      <c r="K12" s="90">
        <f>SUM(K13:K16)</f>
        <v>18417599.139999997</v>
      </c>
      <c r="L12" s="77">
        <f>IF(K12=0,0,F12-K12)</f>
        <v>904248.950000003</v>
      </c>
      <c r="M12" s="88">
        <f>IF(K12=0,0,F12/K12*100)</f>
        <v>104.90970046164227</v>
      </c>
    </row>
    <row r="13" spans="1:13" s="10" customFormat="1" ht="42.75" customHeight="1">
      <c r="A13" s="9">
        <v>11010100</v>
      </c>
      <c r="B13" s="17" t="s">
        <v>57</v>
      </c>
      <c r="C13" s="112">
        <v>15816190</v>
      </c>
      <c r="D13" s="112">
        <v>15293890</v>
      </c>
      <c r="E13" s="113">
        <v>13686100</v>
      </c>
      <c r="F13" s="123">
        <v>12476187.65</v>
      </c>
      <c r="G13" s="7">
        <f>F13/E13%</f>
        <v>91.15955348857601</v>
      </c>
      <c r="H13" s="7">
        <f aca="true" t="shared" si="2" ref="H13:H74">IF(D13=0,0,F13/D13%)</f>
        <v>81.57628732781524</v>
      </c>
      <c r="I13" s="8">
        <f t="shared" si="0"/>
        <v>-1209912.3499999996</v>
      </c>
      <c r="J13" s="8">
        <f t="shared" si="1"/>
        <v>-2817702.3499999996</v>
      </c>
      <c r="K13" s="140">
        <v>12605463.37</v>
      </c>
      <c r="L13" s="87">
        <f aca="true" t="shared" si="3" ref="L13:L95">IF(K13=0,0,F13-K13)</f>
        <v>-129275.71999999881</v>
      </c>
      <c r="M13" s="89">
        <f aca="true" t="shared" si="4" ref="M13:M95">IF(K13=0,0,F13/K13*100)</f>
        <v>98.97444690285909</v>
      </c>
    </row>
    <row r="14" spans="1:13" s="10" customFormat="1" ht="75.75" customHeight="1">
      <c r="A14" s="9">
        <v>11010200</v>
      </c>
      <c r="B14" s="17" t="s">
        <v>58</v>
      </c>
      <c r="C14" s="112">
        <v>1200000</v>
      </c>
      <c r="D14" s="112">
        <v>1200000</v>
      </c>
      <c r="E14" s="113">
        <v>1050000</v>
      </c>
      <c r="F14" s="123">
        <v>1182412.26</v>
      </c>
      <c r="G14" s="7">
        <f>F14/E14%</f>
        <v>112.61069142857143</v>
      </c>
      <c r="H14" s="7">
        <f t="shared" si="2"/>
        <v>98.534355</v>
      </c>
      <c r="I14" s="8">
        <f t="shared" si="0"/>
        <v>132412.26</v>
      </c>
      <c r="J14" s="8">
        <f t="shared" si="1"/>
        <v>-17587.73999999999</v>
      </c>
      <c r="K14" s="140">
        <v>971152.61</v>
      </c>
      <c r="L14" s="87">
        <f t="shared" si="3"/>
        <v>211259.65000000002</v>
      </c>
      <c r="M14" s="89">
        <f t="shared" si="4"/>
        <v>121.75349660029231</v>
      </c>
    </row>
    <row r="15" spans="1:13" s="10" customFormat="1" ht="42.75" customHeight="1">
      <c r="A15" s="9">
        <v>11010400</v>
      </c>
      <c r="B15" s="17" t="s">
        <v>53</v>
      </c>
      <c r="C15" s="112">
        <v>5500000</v>
      </c>
      <c r="D15" s="112">
        <v>5500000</v>
      </c>
      <c r="E15" s="113">
        <v>4832951</v>
      </c>
      <c r="F15" s="123">
        <v>5322046.7</v>
      </c>
      <c r="G15" s="7">
        <f>F15/E15%</f>
        <v>110.12002190793989</v>
      </c>
      <c r="H15" s="7">
        <f t="shared" si="2"/>
        <v>96.76448545454546</v>
      </c>
      <c r="I15" s="8">
        <f t="shared" si="0"/>
        <v>489095.7000000002</v>
      </c>
      <c r="J15" s="8">
        <f t="shared" si="1"/>
        <v>-177953.2999999998</v>
      </c>
      <c r="K15" s="140">
        <v>4559758.53</v>
      </c>
      <c r="L15" s="87">
        <f t="shared" si="3"/>
        <v>762288.1699999999</v>
      </c>
      <c r="M15" s="89">
        <f t="shared" si="4"/>
        <v>116.71773110318628</v>
      </c>
    </row>
    <row r="16" spans="1:13" s="10" customFormat="1" ht="37.5" customHeight="1">
      <c r="A16" s="9">
        <v>11010500</v>
      </c>
      <c r="B16" s="17" t="s">
        <v>51</v>
      </c>
      <c r="C16" s="112">
        <v>350000</v>
      </c>
      <c r="D16" s="112">
        <v>350000</v>
      </c>
      <c r="E16" s="113">
        <v>333000</v>
      </c>
      <c r="F16" s="123">
        <v>341201.48</v>
      </c>
      <c r="G16" s="7">
        <f>F16/E16%</f>
        <v>102.4629069069069</v>
      </c>
      <c r="H16" s="7">
        <f t="shared" si="2"/>
        <v>97.48613714285713</v>
      </c>
      <c r="I16" s="8">
        <f t="shared" si="0"/>
        <v>8201.479999999981</v>
      </c>
      <c r="J16" s="8">
        <f t="shared" si="1"/>
        <v>-8798.520000000019</v>
      </c>
      <c r="K16" s="140">
        <v>281224.63</v>
      </c>
      <c r="L16" s="87">
        <f t="shared" si="3"/>
        <v>59976.84999999998</v>
      </c>
      <c r="M16" s="89">
        <f t="shared" si="4"/>
        <v>121.32702601475553</v>
      </c>
    </row>
    <row r="17" spans="1:13" s="32" customFormat="1" ht="20.25" customHeight="1">
      <c r="A17" s="15">
        <v>11020000</v>
      </c>
      <c r="B17" s="16" t="s">
        <v>30</v>
      </c>
      <c r="C17" s="97">
        <f>C18</f>
        <v>0</v>
      </c>
      <c r="D17" s="97">
        <f>D18</f>
        <v>0</v>
      </c>
      <c r="E17" s="97">
        <f>E18</f>
        <v>0</v>
      </c>
      <c r="F17" s="97">
        <f>F18</f>
        <v>1561</v>
      </c>
      <c r="G17" s="46">
        <f>IF(E17=0,0,F17/E17%)</f>
        <v>0</v>
      </c>
      <c r="H17" s="46">
        <f t="shared" si="2"/>
        <v>0</v>
      </c>
      <c r="I17" s="30">
        <f t="shared" si="0"/>
        <v>1561</v>
      </c>
      <c r="J17" s="30">
        <f t="shared" si="1"/>
        <v>1561</v>
      </c>
      <c r="K17" s="126">
        <f>SUM(K18)</f>
        <v>2036</v>
      </c>
      <c r="L17" s="77">
        <f>F17-K17</f>
        <v>-475</v>
      </c>
      <c r="M17" s="88">
        <f t="shared" si="4"/>
        <v>76.66994106090374</v>
      </c>
    </row>
    <row r="18" spans="1:13" s="10" customFormat="1" ht="39" customHeight="1">
      <c r="A18" s="9">
        <v>11020200</v>
      </c>
      <c r="B18" s="17" t="s">
        <v>43</v>
      </c>
      <c r="C18" s="98">
        <v>0</v>
      </c>
      <c r="D18" s="98"/>
      <c r="E18" s="98"/>
      <c r="F18" s="99">
        <v>1561</v>
      </c>
      <c r="G18" s="7">
        <f aca="true" t="shared" si="5" ref="G18:G139">IF(E18=0,0,F18/E18%)</f>
        <v>0</v>
      </c>
      <c r="H18" s="7">
        <f t="shared" si="2"/>
        <v>0</v>
      </c>
      <c r="I18" s="8">
        <f aca="true" t="shared" si="6" ref="I18:I85">F18-E18</f>
        <v>1561</v>
      </c>
      <c r="J18" s="8">
        <f t="shared" si="1"/>
        <v>1561</v>
      </c>
      <c r="K18" s="78">
        <v>2036</v>
      </c>
      <c r="L18" s="77">
        <f>F18-K18</f>
        <v>-475</v>
      </c>
      <c r="M18" s="89">
        <f t="shared" si="4"/>
        <v>76.66994106090374</v>
      </c>
    </row>
    <row r="19" spans="1:14" s="32" customFormat="1" ht="23.25" customHeight="1">
      <c r="A19" s="15">
        <v>13010000</v>
      </c>
      <c r="B19" s="19" t="s">
        <v>79</v>
      </c>
      <c r="C19" s="97">
        <f>C20+C21</f>
        <v>1400000</v>
      </c>
      <c r="D19" s="97">
        <f>D20+D21</f>
        <v>1400000</v>
      </c>
      <c r="E19" s="97">
        <f>E20+E21</f>
        <v>1100000</v>
      </c>
      <c r="F19" s="97">
        <f>F20+F21</f>
        <v>1622312.2100000002</v>
      </c>
      <c r="G19" s="46">
        <f t="shared" si="5"/>
        <v>147.4829281818182</v>
      </c>
      <c r="H19" s="46">
        <f t="shared" si="2"/>
        <v>115.87944357142858</v>
      </c>
      <c r="I19" s="30">
        <f t="shared" si="6"/>
        <v>522312.2100000002</v>
      </c>
      <c r="J19" s="30">
        <f t="shared" si="1"/>
        <v>222312.2100000002</v>
      </c>
      <c r="K19" s="90">
        <f>SUM(K20+K21)</f>
        <v>1251160.36</v>
      </c>
      <c r="L19" s="77">
        <f t="shared" si="3"/>
        <v>371151.8500000001</v>
      </c>
      <c r="M19" s="88">
        <f t="shared" si="4"/>
        <v>129.6646106978645</v>
      </c>
      <c r="N19" s="80"/>
    </row>
    <row r="20" spans="1:13" s="10" customFormat="1" ht="51" customHeight="1">
      <c r="A20" s="9">
        <v>13010100</v>
      </c>
      <c r="B20" s="17" t="s">
        <v>233</v>
      </c>
      <c r="C20" s="98">
        <v>400000</v>
      </c>
      <c r="D20" s="98">
        <v>400000</v>
      </c>
      <c r="E20" s="113">
        <v>300000</v>
      </c>
      <c r="F20" s="123">
        <v>334093.59</v>
      </c>
      <c r="G20" s="7">
        <f t="shared" si="5"/>
        <v>111.36453</v>
      </c>
      <c r="H20" s="7">
        <f t="shared" si="2"/>
        <v>83.5233975</v>
      </c>
      <c r="I20" s="8">
        <f t="shared" si="6"/>
        <v>34093.590000000026</v>
      </c>
      <c r="J20" s="8">
        <f t="shared" si="1"/>
        <v>-65906.40999999997</v>
      </c>
      <c r="K20" s="141">
        <v>334991.71</v>
      </c>
      <c r="L20" s="87">
        <f t="shared" si="3"/>
        <v>-898.1199999999953</v>
      </c>
      <c r="M20" s="89">
        <f t="shared" si="4"/>
        <v>99.73189784308394</v>
      </c>
    </row>
    <row r="21" spans="1:13" s="10" customFormat="1" ht="58.5" customHeight="1">
      <c r="A21" s="9">
        <v>13010200</v>
      </c>
      <c r="B21" s="17" t="s">
        <v>80</v>
      </c>
      <c r="C21" s="98">
        <v>1000000</v>
      </c>
      <c r="D21" s="98">
        <v>1000000</v>
      </c>
      <c r="E21" s="113">
        <v>800000</v>
      </c>
      <c r="F21" s="123">
        <v>1288218.62</v>
      </c>
      <c r="G21" s="7">
        <f>IF(E21=0,0,F21/E21%)</f>
        <v>161.0273275</v>
      </c>
      <c r="H21" s="7">
        <f>IF(D21=0,0,F21/D21%)</f>
        <v>128.821862</v>
      </c>
      <c r="I21" s="8">
        <f>F21-E21</f>
        <v>488218.6200000001</v>
      </c>
      <c r="J21" s="8">
        <f>F21-D21</f>
        <v>288218.6200000001</v>
      </c>
      <c r="K21" s="141">
        <v>916168.65</v>
      </c>
      <c r="L21" s="87">
        <f>IF(K21=0,0,F21-K21)</f>
        <v>372049.9700000001</v>
      </c>
      <c r="M21" s="89">
        <f>IF(K21=0,0,F21/K21*100)</f>
        <v>140.60933213551894</v>
      </c>
    </row>
    <row r="22" spans="1:13" s="32" customFormat="1" ht="27" customHeight="1">
      <c r="A22" s="15">
        <v>13030000</v>
      </c>
      <c r="B22" s="19" t="s">
        <v>81</v>
      </c>
      <c r="C22" s="97">
        <f>C24+C25+C23</f>
        <v>650000</v>
      </c>
      <c r="D22" s="97">
        <f>D24+D25+D23</f>
        <v>650000</v>
      </c>
      <c r="E22" s="97">
        <f>E24+E25+E23</f>
        <v>635000</v>
      </c>
      <c r="F22" s="97">
        <f>F24+F25+F23</f>
        <v>832867.23</v>
      </c>
      <c r="G22" s="46">
        <f t="shared" si="5"/>
        <v>131.1601937007874</v>
      </c>
      <c r="H22" s="46">
        <f t="shared" si="2"/>
        <v>128.13342</v>
      </c>
      <c r="I22" s="30">
        <f t="shared" si="6"/>
        <v>197867.22999999998</v>
      </c>
      <c r="J22" s="30">
        <f t="shared" si="1"/>
        <v>182867.22999999998</v>
      </c>
      <c r="K22" s="90">
        <f>SUM(K23:K25)</f>
        <v>578610.52</v>
      </c>
      <c r="L22" s="77">
        <f t="shared" si="3"/>
        <v>254256.70999999996</v>
      </c>
      <c r="M22" s="88">
        <f t="shared" si="4"/>
        <v>143.9426351943964</v>
      </c>
    </row>
    <row r="23" spans="1:13" s="10" customFormat="1" ht="42" customHeight="1">
      <c r="A23" s="9">
        <v>13030100</v>
      </c>
      <c r="B23" s="17" t="s">
        <v>230</v>
      </c>
      <c r="C23" s="98">
        <v>3000</v>
      </c>
      <c r="D23" s="98">
        <v>3000</v>
      </c>
      <c r="E23" s="113">
        <v>3000</v>
      </c>
      <c r="F23" s="123">
        <v>2434.61</v>
      </c>
      <c r="G23" s="7">
        <f>IF(E23=0,0,F23/E23%)</f>
        <v>81.15366666666667</v>
      </c>
      <c r="H23" s="7">
        <f>IF(D23=0,0,F23/D23%)</f>
        <v>81.15366666666667</v>
      </c>
      <c r="I23" s="8">
        <f>F23-E23</f>
        <v>-565.3899999999999</v>
      </c>
      <c r="J23" s="8">
        <f>F23-D23</f>
        <v>-565.3899999999999</v>
      </c>
      <c r="K23" s="141">
        <v>2856.67</v>
      </c>
      <c r="L23" s="87">
        <f>F23-K23</f>
        <v>-422.05999999999995</v>
      </c>
      <c r="M23" s="89">
        <f>IF(K23=0,0,F23/K23*100)</f>
        <v>85.22545481277152</v>
      </c>
    </row>
    <row r="24" spans="1:13" s="10" customFormat="1" ht="39" customHeight="1">
      <c r="A24" s="9">
        <v>13030800</v>
      </c>
      <c r="B24" s="17" t="s">
        <v>82</v>
      </c>
      <c r="C24" s="112">
        <v>587000</v>
      </c>
      <c r="D24" s="112">
        <v>587000</v>
      </c>
      <c r="E24" s="113">
        <v>577000</v>
      </c>
      <c r="F24" s="123">
        <v>664555.86</v>
      </c>
      <c r="G24" s="7">
        <f t="shared" si="5"/>
        <v>115.17432582322357</v>
      </c>
      <c r="H24" s="7">
        <f t="shared" si="2"/>
        <v>113.21224190800682</v>
      </c>
      <c r="I24" s="8">
        <f t="shared" si="6"/>
        <v>87555.85999999999</v>
      </c>
      <c r="J24" s="8">
        <f t="shared" si="1"/>
        <v>77555.85999999999</v>
      </c>
      <c r="K24" s="141">
        <v>526260.94</v>
      </c>
      <c r="L24" s="87">
        <f t="shared" si="3"/>
        <v>138294.92000000004</v>
      </c>
      <c r="M24" s="89">
        <f t="shared" si="4"/>
        <v>126.27877341609279</v>
      </c>
    </row>
    <row r="25" spans="1:13" s="10" customFormat="1" ht="36" customHeight="1">
      <c r="A25" s="9">
        <v>13030900</v>
      </c>
      <c r="B25" s="17" t="s">
        <v>83</v>
      </c>
      <c r="C25" s="112">
        <v>60000</v>
      </c>
      <c r="D25" s="112">
        <v>60000</v>
      </c>
      <c r="E25" s="113">
        <v>55000</v>
      </c>
      <c r="F25" s="123">
        <v>165876.76</v>
      </c>
      <c r="G25" s="7">
        <f t="shared" si="5"/>
        <v>301.5941090909091</v>
      </c>
      <c r="H25" s="7">
        <f t="shared" si="2"/>
        <v>276.4612666666667</v>
      </c>
      <c r="I25" s="8">
        <f t="shared" si="6"/>
        <v>110876.76000000001</v>
      </c>
      <c r="J25" s="8">
        <f t="shared" si="1"/>
        <v>105876.76000000001</v>
      </c>
      <c r="K25" s="141">
        <v>49492.91</v>
      </c>
      <c r="L25" s="87">
        <f t="shared" si="3"/>
        <v>116383.85</v>
      </c>
      <c r="M25" s="89">
        <f t="shared" si="4"/>
        <v>335.15257033785247</v>
      </c>
    </row>
    <row r="26" spans="1:14" s="32" customFormat="1" ht="42.75" customHeight="1">
      <c r="A26" s="15">
        <v>14020000</v>
      </c>
      <c r="B26" s="19" t="s">
        <v>175</v>
      </c>
      <c r="C26" s="97">
        <f>C27</f>
        <v>70000</v>
      </c>
      <c r="D26" s="97">
        <f>D27</f>
        <v>70000</v>
      </c>
      <c r="E26" s="97">
        <f>E27</f>
        <v>63800</v>
      </c>
      <c r="F26" s="97">
        <f>F27</f>
        <v>134565.07</v>
      </c>
      <c r="G26" s="46">
        <f t="shared" si="5"/>
        <v>210.91703761755488</v>
      </c>
      <c r="H26" s="46">
        <f t="shared" si="2"/>
        <v>192.2358142857143</v>
      </c>
      <c r="I26" s="30">
        <f t="shared" si="6"/>
        <v>70765.07</v>
      </c>
      <c r="J26" s="30">
        <f t="shared" si="1"/>
        <v>64565.07000000001</v>
      </c>
      <c r="K26" s="90">
        <f>SUM(K27)</f>
        <v>81991.97</v>
      </c>
      <c r="L26" s="77">
        <f t="shared" si="3"/>
        <v>52573.100000000006</v>
      </c>
      <c r="M26" s="88">
        <f t="shared" si="4"/>
        <v>164.1198156356043</v>
      </c>
      <c r="N26" s="80"/>
    </row>
    <row r="27" spans="1:13" s="10" customFormat="1" ht="24.75" customHeight="1">
      <c r="A27" s="9">
        <v>14021900</v>
      </c>
      <c r="B27" s="17" t="s">
        <v>117</v>
      </c>
      <c r="C27" s="98">
        <v>70000</v>
      </c>
      <c r="D27" s="98">
        <v>70000</v>
      </c>
      <c r="E27" s="113">
        <v>63800</v>
      </c>
      <c r="F27" s="123">
        <v>134565.07</v>
      </c>
      <c r="G27" s="7">
        <f t="shared" si="5"/>
        <v>210.91703761755488</v>
      </c>
      <c r="H27" s="7">
        <f t="shared" si="2"/>
        <v>192.2358142857143</v>
      </c>
      <c r="I27" s="8">
        <f t="shared" si="6"/>
        <v>70765.07</v>
      </c>
      <c r="J27" s="8">
        <f t="shared" si="1"/>
        <v>64565.07000000001</v>
      </c>
      <c r="K27" s="123">
        <v>81991.97</v>
      </c>
      <c r="L27" s="87">
        <f t="shared" si="3"/>
        <v>52573.100000000006</v>
      </c>
      <c r="M27" s="89">
        <f t="shared" si="4"/>
        <v>164.1198156356043</v>
      </c>
    </row>
    <row r="28" spans="1:13" s="32" customFormat="1" ht="37.5" customHeight="1">
      <c r="A28" s="20">
        <v>14030000</v>
      </c>
      <c r="B28" s="70" t="s">
        <v>174</v>
      </c>
      <c r="C28" s="97">
        <f>C29</f>
        <v>350000</v>
      </c>
      <c r="D28" s="97">
        <f>D29</f>
        <v>350000</v>
      </c>
      <c r="E28" s="97">
        <f>E29</f>
        <v>319000</v>
      </c>
      <c r="F28" s="97">
        <f>F29</f>
        <v>471673.87</v>
      </c>
      <c r="G28" s="46">
        <f t="shared" si="5"/>
        <v>147.8601473354232</v>
      </c>
      <c r="H28" s="46">
        <f t="shared" si="2"/>
        <v>134.76396285714284</v>
      </c>
      <c r="I28" s="30">
        <f t="shared" si="6"/>
        <v>152673.87</v>
      </c>
      <c r="J28" s="30">
        <f t="shared" si="1"/>
        <v>121673.87</v>
      </c>
      <c r="K28" s="90">
        <f>SUM(K29)</f>
        <v>340309.45</v>
      </c>
      <c r="L28" s="77">
        <f t="shared" si="3"/>
        <v>131364.41999999998</v>
      </c>
      <c r="M28" s="88">
        <f t="shared" si="4"/>
        <v>138.6014611113503</v>
      </c>
    </row>
    <row r="29" spans="1:13" s="10" customFormat="1" ht="24.75" customHeight="1">
      <c r="A29" s="9">
        <v>14031900</v>
      </c>
      <c r="B29" s="17" t="s">
        <v>117</v>
      </c>
      <c r="C29" s="98">
        <v>350000</v>
      </c>
      <c r="D29" s="98">
        <v>350000</v>
      </c>
      <c r="E29" s="113">
        <v>319000</v>
      </c>
      <c r="F29" s="123">
        <v>471673.87</v>
      </c>
      <c r="G29" s="7">
        <f t="shared" si="5"/>
        <v>147.8601473354232</v>
      </c>
      <c r="H29" s="7">
        <f t="shared" si="2"/>
        <v>134.76396285714284</v>
      </c>
      <c r="I29" s="8">
        <f t="shared" si="6"/>
        <v>152673.87</v>
      </c>
      <c r="J29" s="8">
        <f t="shared" si="1"/>
        <v>121673.87</v>
      </c>
      <c r="K29" s="141">
        <v>340309.45</v>
      </c>
      <c r="L29" s="87">
        <f t="shared" si="3"/>
        <v>131364.41999999998</v>
      </c>
      <c r="M29" s="89">
        <f t="shared" si="4"/>
        <v>138.6014611113503</v>
      </c>
    </row>
    <row r="30" spans="1:13" s="32" customFormat="1" ht="38.25" customHeight="1">
      <c r="A30" s="15">
        <v>14040000</v>
      </c>
      <c r="B30" s="21" t="s">
        <v>84</v>
      </c>
      <c r="C30" s="97">
        <v>70000</v>
      </c>
      <c r="D30" s="97">
        <v>70000</v>
      </c>
      <c r="E30" s="145">
        <v>64000</v>
      </c>
      <c r="F30" s="124">
        <v>57193.94</v>
      </c>
      <c r="G30" s="46">
        <f t="shared" si="5"/>
        <v>89.36553125</v>
      </c>
      <c r="H30" s="46">
        <f t="shared" si="2"/>
        <v>81.70562857142858</v>
      </c>
      <c r="I30" s="30">
        <f t="shared" si="6"/>
        <v>-6806.059999999998</v>
      </c>
      <c r="J30" s="30">
        <f t="shared" si="1"/>
        <v>-12806.059999999998</v>
      </c>
      <c r="K30" s="141">
        <v>63203.4</v>
      </c>
      <c r="L30" s="77">
        <f t="shared" si="3"/>
        <v>-6009.459999999999</v>
      </c>
      <c r="M30" s="88">
        <f t="shared" si="4"/>
        <v>90.4918722726942</v>
      </c>
    </row>
    <row r="31" spans="1:13" s="32" customFormat="1" ht="24" customHeight="1">
      <c r="A31" s="15">
        <v>18010000</v>
      </c>
      <c r="B31" s="21" t="s">
        <v>85</v>
      </c>
      <c r="C31" s="97">
        <f>C33+C34+C35+C36+C38+C39+C40+C41+C43+C42</f>
        <v>16535000</v>
      </c>
      <c r="D31" s="97">
        <f>SUM(D37,D32,D42,D43)</f>
        <v>16535000</v>
      </c>
      <c r="E31" s="97">
        <f>SUM(E37,E32,E42,E43)</f>
        <v>14695000</v>
      </c>
      <c r="F31" s="97">
        <f>SUM(F37,F32,F42,F43)</f>
        <v>16479825.22</v>
      </c>
      <c r="G31" s="46">
        <f t="shared" si="5"/>
        <v>112.14579938754679</v>
      </c>
      <c r="H31" s="46">
        <f t="shared" si="2"/>
        <v>99.66631521016026</v>
      </c>
      <c r="I31" s="30">
        <f t="shared" si="6"/>
        <v>1784825.2200000007</v>
      </c>
      <c r="J31" s="30">
        <f t="shared" si="1"/>
        <v>-55174.77999999933</v>
      </c>
      <c r="K31" s="90">
        <f>SUM(K37,K32,K42:K43)</f>
        <v>13937043.74</v>
      </c>
      <c r="L31" s="77">
        <f t="shared" si="3"/>
        <v>2542781.4800000004</v>
      </c>
      <c r="M31" s="88">
        <f t="shared" si="4"/>
        <v>118.24476931719812</v>
      </c>
    </row>
    <row r="32" spans="1:13" s="32" customFormat="1" ht="24" customHeight="1">
      <c r="A32" s="15"/>
      <c r="B32" s="21" t="s">
        <v>242</v>
      </c>
      <c r="C32" s="97">
        <f>SUM(C33:C36)</f>
        <v>585000</v>
      </c>
      <c r="D32" s="97">
        <f>SUM(D33:D36)</f>
        <v>585000</v>
      </c>
      <c r="E32" s="97">
        <f>SUM(E33:E36)</f>
        <v>585000</v>
      </c>
      <c r="F32" s="97">
        <f>SUM(F33:F36)</f>
        <v>672398.3200000001</v>
      </c>
      <c r="G32" s="46">
        <f>IF(E32=0,0,F32/E32%)</f>
        <v>114.93988376068377</v>
      </c>
      <c r="H32" s="46">
        <f>IF(D32=0,0,F32/D32%)</f>
        <v>114.93988376068377</v>
      </c>
      <c r="I32" s="30">
        <f>F32-E32</f>
        <v>87398.32000000007</v>
      </c>
      <c r="J32" s="30">
        <f>F32-D32</f>
        <v>87398.32000000007</v>
      </c>
      <c r="K32" s="90">
        <f>SUM(K33:K36)</f>
        <v>551645.96</v>
      </c>
      <c r="L32" s="77">
        <f>IF(K32=0,0,F32-K32)</f>
        <v>120752.3600000001</v>
      </c>
      <c r="M32" s="88">
        <f>IF(K32=0,0,F32/K32*100)</f>
        <v>121.88946693274072</v>
      </c>
    </row>
    <row r="33" spans="1:15" s="10" customFormat="1" ht="41.25" customHeight="1">
      <c r="A33" s="9">
        <v>18010100</v>
      </c>
      <c r="B33" s="22" t="s">
        <v>86</v>
      </c>
      <c r="C33" s="112">
        <v>59500</v>
      </c>
      <c r="D33" s="112">
        <v>59500</v>
      </c>
      <c r="E33" s="113">
        <v>59500</v>
      </c>
      <c r="F33" s="123">
        <v>67692.11</v>
      </c>
      <c r="G33" s="7">
        <f t="shared" si="5"/>
        <v>113.76825210084034</v>
      </c>
      <c r="H33" s="7">
        <f t="shared" si="2"/>
        <v>113.76825210084034</v>
      </c>
      <c r="I33" s="8">
        <f t="shared" si="6"/>
        <v>8192.11</v>
      </c>
      <c r="J33" s="8">
        <f t="shared" si="1"/>
        <v>8192.11</v>
      </c>
      <c r="K33" s="140">
        <v>41729.96</v>
      </c>
      <c r="L33" s="87">
        <f t="shared" si="3"/>
        <v>25962.15</v>
      </c>
      <c r="M33" s="89">
        <f t="shared" si="4"/>
        <v>162.21465345281902</v>
      </c>
      <c r="O33" s="81"/>
    </row>
    <row r="34" spans="1:13" s="10" customFormat="1" ht="41.25" customHeight="1">
      <c r="A34" s="9">
        <v>18010200</v>
      </c>
      <c r="B34" s="22" t="s">
        <v>87</v>
      </c>
      <c r="C34" s="112">
        <v>5500</v>
      </c>
      <c r="D34" s="112">
        <v>5500</v>
      </c>
      <c r="E34" s="113">
        <v>5500</v>
      </c>
      <c r="F34" s="123">
        <v>15257.35</v>
      </c>
      <c r="G34" s="7">
        <f t="shared" si="5"/>
        <v>277.40636363636366</v>
      </c>
      <c r="H34" s="7">
        <f t="shared" si="2"/>
        <v>277.40636363636366</v>
      </c>
      <c r="I34" s="8">
        <f t="shared" si="6"/>
        <v>9757.35</v>
      </c>
      <c r="J34" s="8">
        <f t="shared" si="1"/>
        <v>9757.35</v>
      </c>
      <c r="K34" s="140">
        <v>4662.32</v>
      </c>
      <c r="L34" s="87">
        <f t="shared" si="3"/>
        <v>10595.03</v>
      </c>
      <c r="M34" s="89">
        <f t="shared" si="4"/>
        <v>327.24802244376195</v>
      </c>
    </row>
    <row r="35" spans="1:13" s="10" customFormat="1" ht="41.25" customHeight="1">
      <c r="A35" s="9">
        <v>18010300</v>
      </c>
      <c r="B35" s="22" t="s">
        <v>88</v>
      </c>
      <c r="C35" s="112">
        <v>120000</v>
      </c>
      <c r="D35" s="112">
        <v>120000</v>
      </c>
      <c r="E35" s="113">
        <v>120000</v>
      </c>
      <c r="F35" s="123">
        <v>84529.25</v>
      </c>
      <c r="G35" s="7">
        <f t="shared" si="5"/>
        <v>70.44104166666666</v>
      </c>
      <c r="H35" s="7">
        <f t="shared" si="2"/>
        <v>70.44104166666666</v>
      </c>
      <c r="I35" s="8">
        <f t="shared" si="6"/>
        <v>-35470.75</v>
      </c>
      <c r="J35" s="8">
        <f t="shared" si="1"/>
        <v>-35470.75</v>
      </c>
      <c r="K35" s="140">
        <v>110747.01</v>
      </c>
      <c r="L35" s="87">
        <f t="shared" si="3"/>
        <v>-26217.759999999995</v>
      </c>
      <c r="M35" s="89">
        <f t="shared" si="4"/>
        <v>76.32643987408781</v>
      </c>
    </row>
    <row r="36" spans="1:13" s="10" customFormat="1" ht="41.25" customHeight="1">
      <c r="A36" s="9">
        <v>18010400</v>
      </c>
      <c r="B36" s="22" t="s">
        <v>89</v>
      </c>
      <c r="C36" s="112">
        <v>400000</v>
      </c>
      <c r="D36" s="112">
        <v>400000</v>
      </c>
      <c r="E36" s="113">
        <v>400000</v>
      </c>
      <c r="F36" s="123">
        <v>504919.61</v>
      </c>
      <c r="G36" s="7">
        <f t="shared" si="5"/>
        <v>126.2299025</v>
      </c>
      <c r="H36" s="7">
        <f t="shared" si="2"/>
        <v>126.2299025</v>
      </c>
      <c r="I36" s="8">
        <f t="shared" si="6"/>
        <v>104919.60999999999</v>
      </c>
      <c r="J36" s="8">
        <f t="shared" si="1"/>
        <v>104919.60999999999</v>
      </c>
      <c r="K36" s="140">
        <v>394506.67</v>
      </c>
      <c r="L36" s="87">
        <f t="shared" si="3"/>
        <v>110412.94</v>
      </c>
      <c r="M36" s="89">
        <f t="shared" si="4"/>
        <v>127.98759777623026</v>
      </c>
    </row>
    <row r="37" spans="1:13" s="32" customFormat="1" ht="24" customHeight="1">
      <c r="A37" s="15"/>
      <c r="B37" s="79" t="s">
        <v>258</v>
      </c>
      <c r="C37" s="114">
        <f>SUM(C38:C41)</f>
        <v>15900000</v>
      </c>
      <c r="D37" s="114">
        <f>SUM(D38:D41)</f>
        <v>15900000</v>
      </c>
      <c r="E37" s="114">
        <f>SUM(E38:E41)</f>
        <v>14060000</v>
      </c>
      <c r="F37" s="114">
        <f>SUM(F38:F41)</f>
        <v>15738676.9</v>
      </c>
      <c r="G37" s="46">
        <f>IF(E37=0,0,F37/E37%)</f>
        <v>111.93938051209103</v>
      </c>
      <c r="H37" s="46">
        <f>IF(D37=0,0,F37/D37%)</f>
        <v>98.98538930817611</v>
      </c>
      <c r="I37" s="30">
        <f>F37-E37</f>
        <v>1678676.9000000004</v>
      </c>
      <c r="J37" s="30">
        <f>F37-D37</f>
        <v>-161323.09999999963</v>
      </c>
      <c r="K37" s="105">
        <f>SUM(K38:K41)</f>
        <v>13275447.72</v>
      </c>
      <c r="L37" s="77">
        <f>IF(K37=0,0,F37-K37)</f>
        <v>2463229.1799999997</v>
      </c>
      <c r="M37" s="88">
        <f>IF(K37=0,0,F37/K37*100)</f>
        <v>118.55477293085224</v>
      </c>
    </row>
    <row r="38" spans="1:13" s="10" customFormat="1" ht="23.25" customHeight="1">
      <c r="A38" s="9">
        <v>18010500</v>
      </c>
      <c r="B38" s="23" t="s">
        <v>90</v>
      </c>
      <c r="C38" s="112">
        <v>1100000</v>
      </c>
      <c r="D38" s="112">
        <v>1100000</v>
      </c>
      <c r="E38" s="113">
        <v>905000</v>
      </c>
      <c r="F38" s="123">
        <v>627720.93</v>
      </c>
      <c r="G38" s="7">
        <f t="shared" si="5"/>
        <v>69.36142872928177</v>
      </c>
      <c r="H38" s="7">
        <f t="shared" si="2"/>
        <v>57.0655390909091</v>
      </c>
      <c r="I38" s="8">
        <f t="shared" si="6"/>
        <v>-277279.06999999995</v>
      </c>
      <c r="J38" s="8">
        <f t="shared" si="1"/>
        <v>-472279.06999999995</v>
      </c>
      <c r="K38" s="140">
        <v>864919.02</v>
      </c>
      <c r="L38" s="87">
        <f t="shared" si="3"/>
        <v>-237198.08999999997</v>
      </c>
      <c r="M38" s="89">
        <f t="shared" si="4"/>
        <v>72.57568806846218</v>
      </c>
    </row>
    <row r="39" spans="1:13" s="10" customFormat="1" ht="21.75" customHeight="1">
      <c r="A39" s="9">
        <v>18010600</v>
      </c>
      <c r="B39" s="23" t="s">
        <v>91</v>
      </c>
      <c r="C39" s="112">
        <v>12000000</v>
      </c>
      <c r="D39" s="112">
        <v>12000000</v>
      </c>
      <c r="E39" s="113">
        <v>10500000</v>
      </c>
      <c r="F39" s="123">
        <v>12427324.75</v>
      </c>
      <c r="G39" s="7">
        <f t="shared" si="5"/>
        <v>118.35547380952382</v>
      </c>
      <c r="H39" s="7">
        <f t="shared" si="2"/>
        <v>103.56103958333334</v>
      </c>
      <c r="I39" s="8">
        <f t="shared" si="6"/>
        <v>1927324.75</v>
      </c>
      <c r="J39" s="8">
        <f t="shared" si="1"/>
        <v>427324.75</v>
      </c>
      <c r="K39" s="140">
        <v>9855705.3</v>
      </c>
      <c r="L39" s="87">
        <f t="shared" si="3"/>
        <v>2571619.4499999993</v>
      </c>
      <c r="M39" s="89">
        <f t="shared" si="4"/>
        <v>126.09269830744634</v>
      </c>
    </row>
    <row r="40" spans="1:13" s="10" customFormat="1" ht="25.5" customHeight="1">
      <c r="A40" s="9">
        <v>18010700</v>
      </c>
      <c r="B40" s="23" t="s">
        <v>92</v>
      </c>
      <c r="C40" s="112">
        <v>1100000</v>
      </c>
      <c r="D40" s="112">
        <v>1100000</v>
      </c>
      <c r="E40" s="113">
        <v>1075000</v>
      </c>
      <c r="F40" s="123">
        <v>1175578.39</v>
      </c>
      <c r="G40" s="7">
        <f t="shared" si="5"/>
        <v>109.35612930232557</v>
      </c>
      <c r="H40" s="7">
        <f t="shared" si="2"/>
        <v>106.87076272727272</v>
      </c>
      <c r="I40" s="8">
        <f t="shared" si="6"/>
        <v>100578.3899999999</v>
      </c>
      <c r="J40" s="8">
        <f t="shared" si="1"/>
        <v>75578.3899999999</v>
      </c>
      <c r="K40" s="140">
        <v>1039257.65</v>
      </c>
      <c r="L40" s="87">
        <f t="shared" si="3"/>
        <v>136320.73999999987</v>
      </c>
      <c r="M40" s="89">
        <f t="shared" si="4"/>
        <v>113.11712644116692</v>
      </c>
    </row>
    <row r="41" spans="1:13" s="10" customFormat="1" ht="27" customHeight="1">
      <c r="A41" s="9">
        <v>18010900</v>
      </c>
      <c r="B41" s="24" t="s">
        <v>93</v>
      </c>
      <c r="C41" s="112">
        <v>1700000</v>
      </c>
      <c r="D41" s="112">
        <v>1700000</v>
      </c>
      <c r="E41" s="113">
        <v>1580000</v>
      </c>
      <c r="F41" s="123">
        <v>1508052.83</v>
      </c>
      <c r="G41" s="7">
        <f t="shared" si="5"/>
        <v>95.44638164556963</v>
      </c>
      <c r="H41" s="7">
        <f t="shared" si="2"/>
        <v>88.70899</v>
      </c>
      <c r="I41" s="8">
        <f t="shared" si="6"/>
        <v>-71947.16999999993</v>
      </c>
      <c r="J41" s="8">
        <f t="shared" si="1"/>
        <v>-191947.16999999993</v>
      </c>
      <c r="K41" s="140">
        <v>1515565.75</v>
      </c>
      <c r="L41" s="87">
        <f t="shared" si="3"/>
        <v>-7512.9199999999255</v>
      </c>
      <c r="M41" s="89">
        <f t="shared" si="4"/>
        <v>99.50428280660209</v>
      </c>
    </row>
    <row r="42" spans="1:15" s="10" customFormat="1" ht="27" customHeight="1">
      <c r="A42" s="9">
        <v>18011000</v>
      </c>
      <c r="B42" s="24" t="s">
        <v>118</v>
      </c>
      <c r="C42" s="112">
        <v>25000</v>
      </c>
      <c r="D42" s="112">
        <v>25000</v>
      </c>
      <c r="E42" s="113">
        <v>25000</v>
      </c>
      <c r="F42" s="123">
        <v>0</v>
      </c>
      <c r="G42" s="7">
        <f t="shared" si="5"/>
        <v>0</v>
      </c>
      <c r="H42" s="7">
        <f t="shared" si="2"/>
        <v>0</v>
      </c>
      <c r="I42" s="8">
        <f t="shared" si="6"/>
        <v>-25000</v>
      </c>
      <c r="J42" s="8">
        <f t="shared" si="1"/>
        <v>-25000</v>
      </c>
      <c r="K42" s="140">
        <v>59950.06</v>
      </c>
      <c r="L42" s="87">
        <f t="shared" si="3"/>
        <v>-59950.06</v>
      </c>
      <c r="M42" s="89">
        <f t="shared" si="4"/>
        <v>0</v>
      </c>
      <c r="N42" s="81"/>
      <c r="O42" s="81"/>
    </row>
    <row r="43" spans="1:13" s="10" customFormat="1" ht="29.25" customHeight="1">
      <c r="A43" s="9">
        <v>18011100</v>
      </c>
      <c r="B43" s="23" t="s">
        <v>94</v>
      </c>
      <c r="C43" s="112">
        <v>25000</v>
      </c>
      <c r="D43" s="112">
        <v>25000</v>
      </c>
      <c r="E43" s="113">
        <v>25000</v>
      </c>
      <c r="F43" s="123">
        <v>68750</v>
      </c>
      <c r="G43" s="7">
        <f t="shared" si="5"/>
        <v>275</v>
      </c>
      <c r="H43" s="7">
        <f t="shared" si="2"/>
        <v>275</v>
      </c>
      <c r="I43" s="8">
        <f t="shared" si="6"/>
        <v>43750</v>
      </c>
      <c r="J43" s="8">
        <f t="shared" si="1"/>
        <v>43750</v>
      </c>
      <c r="K43" s="140">
        <v>50000</v>
      </c>
      <c r="L43" s="87">
        <f t="shared" si="3"/>
        <v>18750</v>
      </c>
      <c r="M43" s="89">
        <f t="shared" si="4"/>
        <v>137.5</v>
      </c>
    </row>
    <row r="44" spans="1:13" s="32" customFormat="1" ht="22.5" customHeight="1">
      <c r="A44" s="15">
        <v>18050000</v>
      </c>
      <c r="B44" s="21" t="s">
        <v>95</v>
      </c>
      <c r="C44" s="97">
        <f>C45+C46+C47</f>
        <v>7500000</v>
      </c>
      <c r="D44" s="97">
        <f>D45+D46+D47</f>
        <v>7500000</v>
      </c>
      <c r="E44" s="97">
        <f>E45+E46+E47</f>
        <v>6675295</v>
      </c>
      <c r="F44" s="97">
        <f>F45+F46+F47</f>
        <v>6881483.17</v>
      </c>
      <c r="G44" s="46">
        <f t="shared" si="5"/>
        <v>103.08882483845284</v>
      </c>
      <c r="H44" s="46">
        <f t="shared" si="2"/>
        <v>91.75310893333334</v>
      </c>
      <c r="I44" s="30">
        <f t="shared" si="6"/>
        <v>206188.16999999993</v>
      </c>
      <c r="J44" s="30">
        <f t="shared" si="1"/>
        <v>-618516.8300000001</v>
      </c>
      <c r="K44" s="90">
        <f>SUM(K45:K47)</f>
        <v>7069594.26</v>
      </c>
      <c r="L44" s="77">
        <f t="shared" si="3"/>
        <v>-188111.08999999985</v>
      </c>
      <c r="M44" s="88">
        <f t="shared" si="4"/>
        <v>97.3391529544441</v>
      </c>
    </row>
    <row r="45" spans="1:13" s="10" customFormat="1" ht="25.5" customHeight="1">
      <c r="A45" s="9">
        <v>18050300</v>
      </c>
      <c r="B45" s="23" t="s">
        <v>96</v>
      </c>
      <c r="C45" s="112">
        <v>800000</v>
      </c>
      <c r="D45" s="112">
        <v>800000</v>
      </c>
      <c r="E45" s="113">
        <v>635000</v>
      </c>
      <c r="F45" s="123">
        <v>372900.69</v>
      </c>
      <c r="G45" s="7">
        <f t="shared" si="5"/>
        <v>58.72451811023622</v>
      </c>
      <c r="H45" s="7">
        <f t="shared" si="2"/>
        <v>46.61258625</v>
      </c>
      <c r="I45" s="8">
        <f t="shared" si="6"/>
        <v>-262099.31</v>
      </c>
      <c r="J45" s="8">
        <f t="shared" si="1"/>
        <v>-427099.31</v>
      </c>
      <c r="K45" s="139">
        <v>720823.61</v>
      </c>
      <c r="L45" s="87">
        <f t="shared" si="3"/>
        <v>-347922.92</v>
      </c>
      <c r="M45" s="89">
        <f t="shared" si="4"/>
        <v>51.73258545180006</v>
      </c>
    </row>
    <row r="46" spans="1:13" s="10" customFormat="1" ht="25.5" customHeight="1">
      <c r="A46" s="9">
        <v>18050400</v>
      </c>
      <c r="B46" s="23" t="s">
        <v>97</v>
      </c>
      <c r="C46" s="112">
        <v>2000000</v>
      </c>
      <c r="D46" s="112">
        <v>2000000</v>
      </c>
      <c r="E46" s="113">
        <v>1750000</v>
      </c>
      <c r="F46" s="123">
        <v>2052768.55</v>
      </c>
      <c r="G46" s="7">
        <f t="shared" si="5"/>
        <v>117.30106</v>
      </c>
      <c r="H46" s="7">
        <f t="shared" si="2"/>
        <v>102.6384275</v>
      </c>
      <c r="I46" s="8">
        <f t="shared" si="6"/>
        <v>302768.55000000005</v>
      </c>
      <c r="J46" s="8">
        <f t="shared" si="1"/>
        <v>52768.55000000005</v>
      </c>
      <c r="K46" s="139">
        <v>1854807.33</v>
      </c>
      <c r="L46" s="87">
        <f t="shared" si="3"/>
        <v>197961.21999999997</v>
      </c>
      <c r="M46" s="89">
        <f t="shared" si="4"/>
        <v>110.67287242174098</v>
      </c>
    </row>
    <row r="47" spans="1:13" s="10" customFormat="1" ht="58.5" customHeight="1">
      <c r="A47" s="9">
        <v>18050500</v>
      </c>
      <c r="B47" s="23" t="s">
        <v>98</v>
      </c>
      <c r="C47" s="112">
        <v>4700000</v>
      </c>
      <c r="D47" s="112">
        <v>4700000</v>
      </c>
      <c r="E47" s="113">
        <v>4290295</v>
      </c>
      <c r="F47" s="123">
        <v>4455813.93</v>
      </c>
      <c r="G47" s="7">
        <f t="shared" si="5"/>
        <v>103.8579848238874</v>
      </c>
      <c r="H47" s="7">
        <f t="shared" si="2"/>
        <v>94.80455170212765</v>
      </c>
      <c r="I47" s="8">
        <f t="shared" si="6"/>
        <v>165518.9299999997</v>
      </c>
      <c r="J47" s="8">
        <f t="shared" si="1"/>
        <v>-244186.0700000003</v>
      </c>
      <c r="K47" s="139">
        <v>4493963.32</v>
      </c>
      <c r="L47" s="87">
        <f t="shared" si="3"/>
        <v>-38149.390000000596</v>
      </c>
      <c r="M47" s="89">
        <f t="shared" si="4"/>
        <v>99.15109698759179</v>
      </c>
    </row>
    <row r="48" spans="1:13" s="67" customFormat="1" ht="30" customHeight="1" hidden="1">
      <c r="A48" s="66" t="s">
        <v>221</v>
      </c>
      <c r="B48" s="71" t="s">
        <v>220</v>
      </c>
      <c r="C48" s="97">
        <f>SUM(C49)</f>
        <v>0</v>
      </c>
      <c r="D48" s="97">
        <f>SUM(D49)</f>
        <v>0</v>
      </c>
      <c r="E48" s="97">
        <f>SUM(E49)</f>
        <v>0</v>
      </c>
      <c r="F48" s="97">
        <f>SUM(F49)</f>
        <v>0</v>
      </c>
      <c r="G48" s="7">
        <f>IF(E48=0,0,F48/E48%)</f>
        <v>0</v>
      </c>
      <c r="H48" s="7">
        <f>IF(D48=0,0,F48/D48%)</f>
        <v>0</v>
      </c>
      <c r="I48" s="8">
        <f aca="true" t="shared" si="7" ref="I48:I55">F48-E48</f>
        <v>0</v>
      </c>
      <c r="J48" s="8">
        <f>F48-D48</f>
        <v>0</v>
      </c>
      <c r="K48" s="115">
        <f>SUM(K49)</f>
        <v>0</v>
      </c>
      <c r="L48" s="87">
        <f>IF(K48=0,0,F48-K48)</f>
        <v>0</v>
      </c>
      <c r="M48" s="89">
        <f>IF(K48=0,0,F48/K48*100)</f>
        <v>0</v>
      </c>
    </row>
    <row r="49" spans="1:13" s="69" customFormat="1" ht="129.75" customHeight="1" hidden="1">
      <c r="A49" s="68" t="s">
        <v>222</v>
      </c>
      <c r="B49" s="72" t="s">
        <v>223</v>
      </c>
      <c r="C49" s="98"/>
      <c r="D49" s="98"/>
      <c r="E49" s="99"/>
      <c r="F49" s="99"/>
      <c r="G49" s="7">
        <f>IF(E49=0,0,F49/E49%)</f>
        <v>0</v>
      </c>
      <c r="H49" s="7">
        <f>IF(D49=0,0,F49/D49%)</f>
        <v>0</v>
      </c>
      <c r="I49" s="8">
        <f t="shared" si="7"/>
        <v>0</v>
      </c>
      <c r="J49" s="8">
        <f>F49-D49</f>
        <v>0</v>
      </c>
      <c r="K49" s="116"/>
      <c r="L49" s="87">
        <f>IF(K49=0,0,F49-K49)</f>
        <v>0</v>
      </c>
      <c r="M49" s="89">
        <f>IF(K49=0,0,F49/K49*100)</f>
        <v>0</v>
      </c>
    </row>
    <row r="50" spans="1:13" s="32" customFormat="1" ht="93.75" customHeight="1" hidden="1">
      <c r="A50" s="15">
        <v>21010000</v>
      </c>
      <c r="B50" s="19" t="s">
        <v>77</v>
      </c>
      <c r="C50" s="97">
        <f>C51</f>
        <v>0</v>
      </c>
      <c r="D50" s="97">
        <f>D51</f>
        <v>0</v>
      </c>
      <c r="E50" s="97">
        <f>E51</f>
        <v>0</v>
      </c>
      <c r="F50" s="97">
        <f>F51</f>
        <v>0</v>
      </c>
      <c r="G50" s="46">
        <f t="shared" si="5"/>
        <v>0</v>
      </c>
      <c r="H50" s="46">
        <f t="shared" si="2"/>
        <v>0</v>
      </c>
      <c r="I50" s="30">
        <f t="shared" si="7"/>
        <v>0</v>
      </c>
      <c r="J50" s="30">
        <f t="shared" si="1"/>
        <v>0</v>
      </c>
      <c r="K50" s="90">
        <f>SUM(K51)</f>
        <v>0</v>
      </c>
      <c r="L50" s="77">
        <f t="shared" si="3"/>
        <v>0</v>
      </c>
      <c r="M50" s="88">
        <f t="shared" si="4"/>
        <v>0</v>
      </c>
    </row>
    <row r="51" spans="1:13" s="10" customFormat="1" ht="41.25" customHeight="1" hidden="1">
      <c r="A51" s="9">
        <v>21010300</v>
      </c>
      <c r="B51" s="17" t="s">
        <v>78</v>
      </c>
      <c r="C51" s="98">
        <v>0</v>
      </c>
      <c r="D51" s="98">
        <v>0</v>
      </c>
      <c r="E51" s="98">
        <v>0</v>
      </c>
      <c r="F51" s="98">
        <v>0</v>
      </c>
      <c r="G51" s="7">
        <f t="shared" si="5"/>
        <v>0</v>
      </c>
      <c r="H51" s="7">
        <f t="shared" si="2"/>
        <v>0</v>
      </c>
      <c r="I51" s="8">
        <f t="shared" si="7"/>
        <v>0</v>
      </c>
      <c r="J51" s="8">
        <f t="shared" si="1"/>
        <v>0</v>
      </c>
      <c r="K51" s="78">
        <v>0</v>
      </c>
      <c r="L51" s="87">
        <f t="shared" si="3"/>
        <v>0</v>
      </c>
      <c r="M51" s="89">
        <f t="shared" si="4"/>
        <v>0</v>
      </c>
    </row>
    <row r="52" spans="1:13" s="32" customFormat="1" ht="19.5" customHeight="1">
      <c r="A52" s="15">
        <v>21080000</v>
      </c>
      <c r="B52" s="26" t="s">
        <v>3</v>
      </c>
      <c r="C52" s="97">
        <f>SUM(C53:C55)</f>
        <v>10000</v>
      </c>
      <c r="D52" s="97">
        <f>SUM(D53:D55)</f>
        <v>10000</v>
      </c>
      <c r="E52" s="97">
        <f>SUM(E53:E55)</f>
        <v>10000</v>
      </c>
      <c r="F52" s="97">
        <f>SUM(F53:F55)</f>
        <v>3459</v>
      </c>
      <c r="G52" s="46">
        <f t="shared" si="5"/>
        <v>34.59</v>
      </c>
      <c r="H52" s="46">
        <f t="shared" si="2"/>
        <v>34.59</v>
      </c>
      <c r="I52" s="30">
        <f t="shared" si="7"/>
        <v>-6541</v>
      </c>
      <c r="J52" s="30">
        <f t="shared" si="1"/>
        <v>-6541</v>
      </c>
      <c r="K52" s="90">
        <f>SUM(K53:K55)</f>
        <v>13405.36</v>
      </c>
      <c r="L52" s="77">
        <f t="shared" si="3"/>
        <v>-9946.36</v>
      </c>
      <c r="M52" s="88">
        <f t="shared" si="4"/>
        <v>25.803111591184418</v>
      </c>
    </row>
    <row r="53" spans="1:13" s="32" customFormat="1" ht="39" customHeight="1" hidden="1">
      <c r="A53" s="9">
        <v>21010300</v>
      </c>
      <c r="B53" s="17" t="s">
        <v>239</v>
      </c>
      <c r="C53" s="97"/>
      <c r="D53" s="97"/>
      <c r="E53" s="97"/>
      <c r="F53" s="97"/>
      <c r="G53" s="46"/>
      <c r="H53" s="46"/>
      <c r="I53" s="30"/>
      <c r="J53" s="30"/>
      <c r="K53" s="78">
        <v>0</v>
      </c>
      <c r="L53" s="77"/>
      <c r="M53" s="88"/>
    </row>
    <row r="54" spans="1:13" s="10" customFormat="1" ht="23.25" customHeight="1">
      <c r="A54" s="9">
        <v>21081100</v>
      </c>
      <c r="B54" s="25" t="s">
        <v>119</v>
      </c>
      <c r="C54" s="98">
        <v>10000</v>
      </c>
      <c r="D54" s="98">
        <v>10000</v>
      </c>
      <c r="E54" s="113">
        <v>10000</v>
      </c>
      <c r="F54" s="123">
        <v>3459</v>
      </c>
      <c r="G54" s="7">
        <f t="shared" si="5"/>
        <v>34.59</v>
      </c>
      <c r="H54" s="7">
        <f t="shared" si="2"/>
        <v>34.59</v>
      </c>
      <c r="I54" s="8">
        <f t="shared" si="7"/>
        <v>-6541</v>
      </c>
      <c r="J54" s="8">
        <f t="shared" si="1"/>
        <v>-6541</v>
      </c>
      <c r="K54" s="129">
        <v>13405.36</v>
      </c>
      <c r="L54" s="87">
        <f t="shared" si="3"/>
        <v>-9946.36</v>
      </c>
      <c r="M54" s="89">
        <f t="shared" si="4"/>
        <v>25.803111591184418</v>
      </c>
    </row>
    <row r="55" spans="1:13" s="27" customFormat="1" ht="36" customHeight="1" hidden="1">
      <c r="A55" s="9">
        <v>21081500</v>
      </c>
      <c r="B55" s="17" t="s">
        <v>176</v>
      </c>
      <c r="C55" s="98"/>
      <c r="D55" s="98"/>
      <c r="E55" s="98"/>
      <c r="F55" s="98"/>
      <c r="G55" s="7">
        <f t="shared" si="5"/>
        <v>0</v>
      </c>
      <c r="H55" s="7">
        <f t="shared" si="2"/>
        <v>0</v>
      </c>
      <c r="I55" s="8">
        <f t="shared" si="7"/>
        <v>0</v>
      </c>
      <c r="J55" s="8">
        <f t="shared" si="1"/>
        <v>0</v>
      </c>
      <c r="K55" s="106"/>
      <c r="L55" s="87">
        <f t="shared" si="3"/>
        <v>0</v>
      </c>
      <c r="M55" s="89">
        <f t="shared" si="4"/>
        <v>0</v>
      </c>
    </row>
    <row r="56" spans="1:13" s="32" customFormat="1" ht="23.25" customHeight="1">
      <c r="A56" s="15">
        <v>22010000</v>
      </c>
      <c r="B56" s="16" t="s">
        <v>61</v>
      </c>
      <c r="C56" s="97">
        <f>SUM(C57:C60)</f>
        <v>305000</v>
      </c>
      <c r="D56" s="97">
        <f>SUM(D57:D60)</f>
        <v>305000</v>
      </c>
      <c r="E56" s="97">
        <f>SUM(E57:E60)</f>
        <v>281200</v>
      </c>
      <c r="F56" s="97">
        <f>SUM(F57:F60)</f>
        <v>179471.36</v>
      </c>
      <c r="G56" s="46">
        <f t="shared" si="5"/>
        <v>63.82338549075391</v>
      </c>
      <c r="H56" s="46">
        <f t="shared" si="2"/>
        <v>58.84306885245901</v>
      </c>
      <c r="I56" s="30">
        <f t="shared" si="6"/>
        <v>-101728.64000000001</v>
      </c>
      <c r="J56" s="30">
        <f t="shared" si="1"/>
        <v>-125528.64000000001</v>
      </c>
      <c r="K56" s="90">
        <f>SUM(K57:K60)</f>
        <v>160277.1</v>
      </c>
      <c r="L56" s="77">
        <f t="shared" si="3"/>
        <v>19194.25999999998</v>
      </c>
      <c r="M56" s="88">
        <f t="shared" si="4"/>
        <v>111.97567213282495</v>
      </c>
    </row>
    <row r="57" spans="1:13" s="32" customFormat="1" ht="36" customHeight="1">
      <c r="A57" s="9">
        <v>22010300</v>
      </c>
      <c r="B57" s="18" t="s">
        <v>236</v>
      </c>
      <c r="C57" s="98">
        <v>10000</v>
      </c>
      <c r="D57" s="98">
        <v>10000</v>
      </c>
      <c r="E57" s="113">
        <v>9200</v>
      </c>
      <c r="F57" s="123">
        <v>2940.03</v>
      </c>
      <c r="G57" s="7">
        <f aca="true" t="shared" si="8" ref="G57:G62">IF(E57=0,0,F57/E57%)</f>
        <v>31.95684782608696</v>
      </c>
      <c r="H57" s="7">
        <f aca="true" t="shared" si="9" ref="H57:H62">IF(D57=0,0,F57/D57%)</f>
        <v>29.4003</v>
      </c>
      <c r="I57" s="8">
        <f aca="true" t="shared" si="10" ref="I57:I62">F57-E57</f>
        <v>-6259.969999999999</v>
      </c>
      <c r="J57" s="8">
        <f aca="true" t="shared" si="11" ref="J57:J62">F57-D57</f>
        <v>-7059.969999999999</v>
      </c>
      <c r="K57" s="140">
        <v>2510</v>
      </c>
      <c r="L57" s="87">
        <f aca="true" t="shared" si="12" ref="L57:L62">IF(K57=0,0,F57-K57)</f>
        <v>430.0300000000002</v>
      </c>
      <c r="M57" s="89">
        <f aca="true" t="shared" si="13" ref="M57:M62">IF(K57=0,0,F57/K57*100)</f>
        <v>117.13266932270918</v>
      </c>
    </row>
    <row r="58" spans="1:13" s="10" customFormat="1" ht="27.75" customHeight="1">
      <c r="A58" s="9">
        <v>22012500</v>
      </c>
      <c r="B58" s="17" t="s">
        <v>104</v>
      </c>
      <c r="C58" s="98">
        <v>150000</v>
      </c>
      <c r="D58" s="98">
        <v>150000</v>
      </c>
      <c r="E58" s="113">
        <v>140000</v>
      </c>
      <c r="F58" s="123">
        <v>96151.19</v>
      </c>
      <c r="G58" s="7">
        <f t="shared" si="8"/>
        <v>68.67942142857143</v>
      </c>
      <c r="H58" s="7">
        <f t="shared" si="9"/>
        <v>64.10079333333333</v>
      </c>
      <c r="I58" s="8">
        <f t="shared" si="10"/>
        <v>-43848.81</v>
      </c>
      <c r="J58" s="8">
        <f t="shared" si="11"/>
        <v>-53848.81</v>
      </c>
      <c r="K58" s="140">
        <v>141257.1</v>
      </c>
      <c r="L58" s="87">
        <f t="shared" si="12"/>
        <v>-45105.91</v>
      </c>
      <c r="M58" s="89">
        <f t="shared" si="13"/>
        <v>68.06821745597212</v>
      </c>
    </row>
    <row r="59" spans="1:13" s="10" customFormat="1" ht="39.75" customHeight="1">
      <c r="A59" s="9">
        <v>22012600</v>
      </c>
      <c r="B59" s="17" t="s">
        <v>237</v>
      </c>
      <c r="C59" s="98">
        <v>145000</v>
      </c>
      <c r="D59" s="98">
        <v>145000</v>
      </c>
      <c r="E59" s="113">
        <v>132000</v>
      </c>
      <c r="F59" s="123">
        <v>80380.12</v>
      </c>
      <c r="G59" s="7">
        <f t="shared" si="8"/>
        <v>60.8940303030303</v>
      </c>
      <c r="H59" s="7">
        <f t="shared" si="9"/>
        <v>55.434565517241374</v>
      </c>
      <c r="I59" s="8">
        <f t="shared" si="10"/>
        <v>-51619.880000000005</v>
      </c>
      <c r="J59" s="8">
        <f t="shared" si="11"/>
        <v>-64619.880000000005</v>
      </c>
      <c r="K59" s="140">
        <v>16510</v>
      </c>
      <c r="L59" s="87">
        <f t="shared" si="12"/>
        <v>63870.119999999995</v>
      </c>
      <c r="M59" s="89">
        <f t="shared" si="13"/>
        <v>486.85717746820103</v>
      </c>
    </row>
    <row r="60" spans="1:13" s="10" customFormat="1" ht="90" customHeight="1">
      <c r="A60" s="9">
        <v>22012900</v>
      </c>
      <c r="B60" s="17" t="s">
        <v>244</v>
      </c>
      <c r="C60" s="98"/>
      <c r="D60" s="98"/>
      <c r="E60" s="113">
        <v>0</v>
      </c>
      <c r="F60" s="123">
        <v>0.02</v>
      </c>
      <c r="G60" s="7">
        <f t="shared" si="8"/>
        <v>0</v>
      </c>
      <c r="H60" s="7">
        <f t="shared" si="9"/>
        <v>0</v>
      </c>
      <c r="I60" s="8">
        <f t="shared" si="10"/>
        <v>0.02</v>
      </c>
      <c r="J60" s="8">
        <f t="shared" si="11"/>
        <v>0.02</v>
      </c>
      <c r="K60" s="78"/>
      <c r="L60" s="87">
        <f t="shared" si="12"/>
        <v>0</v>
      </c>
      <c r="M60" s="89">
        <f t="shared" si="13"/>
        <v>0</v>
      </c>
    </row>
    <row r="61" spans="1:13" s="32" customFormat="1" ht="39.75" customHeight="1" hidden="1">
      <c r="A61" s="15">
        <v>22080000</v>
      </c>
      <c r="B61" s="16" t="s">
        <v>41</v>
      </c>
      <c r="C61" s="97">
        <f>C62</f>
        <v>0</v>
      </c>
      <c r="D61" s="97">
        <f>D62</f>
        <v>0</v>
      </c>
      <c r="E61" s="97">
        <f>E62</f>
        <v>0</v>
      </c>
      <c r="F61" s="97">
        <f>F62</f>
        <v>0</v>
      </c>
      <c r="G61" s="46">
        <f t="shared" si="8"/>
        <v>0</v>
      </c>
      <c r="H61" s="46">
        <f t="shared" si="9"/>
        <v>0</v>
      </c>
      <c r="I61" s="30">
        <f t="shared" si="10"/>
        <v>0</v>
      </c>
      <c r="J61" s="30">
        <f t="shared" si="11"/>
        <v>0</v>
      </c>
      <c r="K61" s="90">
        <f>SUM(K62)</f>
        <v>0</v>
      </c>
      <c r="L61" s="77">
        <f t="shared" si="12"/>
        <v>0</v>
      </c>
      <c r="M61" s="88">
        <f t="shared" si="13"/>
        <v>0</v>
      </c>
    </row>
    <row r="62" spans="1:13" s="10" customFormat="1" ht="42" customHeight="1" hidden="1">
      <c r="A62" s="9">
        <v>22080400</v>
      </c>
      <c r="B62" s="17" t="s">
        <v>44</v>
      </c>
      <c r="C62" s="98">
        <v>0</v>
      </c>
      <c r="D62" s="98"/>
      <c r="E62" s="98"/>
      <c r="F62" s="98"/>
      <c r="G62" s="46">
        <f t="shared" si="8"/>
        <v>0</v>
      </c>
      <c r="H62" s="46">
        <f t="shared" si="9"/>
        <v>0</v>
      </c>
      <c r="I62" s="30">
        <f t="shared" si="10"/>
        <v>0</v>
      </c>
      <c r="J62" s="30">
        <f t="shared" si="11"/>
        <v>0</v>
      </c>
      <c r="K62" s="78"/>
      <c r="L62" s="77">
        <f t="shared" si="12"/>
        <v>0</v>
      </c>
      <c r="M62" s="88">
        <f t="shared" si="13"/>
        <v>0</v>
      </c>
    </row>
    <row r="63" spans="1:13" s="32" customFormat="1" ht="24.75" customHeight="1">
      <c r="A63" s="15">
        <v>22090000</v>
      </c>
      <c r="B63" s="19" t="s">
        <v>105</v>
      </c>
      <c r="C63" s="97">
        <f>C64+C65+C66</f>
        <v>10000</v>
      </c>
      <c r="D63" s="97">
        <f>D64+D65+D66</f>
        <v>10000</v>
      </c>
      <c r="E63" s="97">
        <f>E64+E65+E66</f>
        <v>9000</v>
      </c>
      <c r="F63" s="97">
        <f>F64+F65+F66</f>
        <v>7991.37</v>
      </c>
      <c r="G63" s="46">
        <f t="shared" si="5"/>
        <v>88.79299999999999</v>
      </c>
      <c r="H63" s="46">
        <f t="shared" si="2"/>
        <v>79.9137</v>
      </c>
      <c r="I63" s="30">
        <f t="shared" si="6"/>
        <v>-1008.6300000000001</v>
      </c>
      <c r="J63" s="30">
        <f t="shared" si="1"/>
        <v>-2008.63</v>
      </c>
      <c r="K63" s="90">
        <f>SUM(K64:K66)</f>
        <v>43535.5</v>
      </c>
      <c r="L63" s="77">
        <f t="shared" si="3"/>
        <v>-35544.13</v>
      </c>
      <c r="M63" s="88">
        <f t="shared" si="4"/>
        <v>18.355985345292922</v>
      </c>
    </row>
    <row r="64" spans="1:13" s="10" customFormat="1" ht="52.5" customHeight="1">
      <c r="A64" s="9">
        <v>22090100</v>
      </c>
      <c r="B64" s="23" t="s">
        <v>106</v>
      </c>
      <c r="C64" s="98">
        <v>10000</v>
      </c>
      <c r="D64" s="98">
        <v>10000</v>
      </c>
      <c r="E64" s="113">
        <v>9000</v>
      </c>
      <c r="F64" s="123">
        <v>6350.87</v>
      </c>
      <c r="G64" s="7">
        <f t="shared" si="5"/>
        <v>70.56522222222222</v>
      </c>
      <c r="H64" s="7">
        <f t="shared" si="2"/>
        <v>63.5087</v>
      </c>
      <c r="I64" s="8">
        <f t="shared" si="6"/>
        <v>-2649.13</v>
      </c>
      <c r="J64" s="8">
        <f t="shared" si="1"/>
        <v>-3649.13</v>
      </c>
      <c r="K64" s="130">
        <v>43382.5</v>
      </c>
      <c r="L64" s="87">
        <f t="shared" si="3"/>
        <v>-37031.63</v>
      </c>
      <c r="M64" s="89">
        <f t="shared" si="4"/>
        <v>14.639243934766322</v>
      </c>
    </row>
    <row r="65" spans="1:13" s="10" customFormat="1" ht="24.75" customHeight="1" hidden="1">
      <c r="A65" s="9">
        <v>22090200</v>
      </c>
      <c r="B65" s="23" t="s">
        <v>191</v>
      </c>
      <c r="C65" s="98"/>
      <c r="D65" s="98"/>
      <c r="E65" s="112">
        <v>0</v>
      </c>
      <c r="F65" s="113"/>
      <c r="G65" s="7">
        <f>IF(E65=0,0,F65/E65%)</f>
        <v>0</v>
      </c>
      <c r="H65" s="7">
        <f>IF(D65=0,0,F65/D65%)</f>
        <v>0</v>
      </c>
      <c r="I65" s="8">
        <f>F65-E65</f>
        <v>0</v>
      </c>
      <c r="J65" s="8">
        <f>F65-D65</f>
        <v>0</v>
      </c>
      <c r="K65" s="133">
        <v>0</v>
      </c>
      <c r="L65" s="87">
        <f>IF(K65=0,0,F65-K65)</f>
        <v>0</v>
      </c>
      <c r="M65" s="89">
        <f>IF(K65=0,0,F65/K65*100)</f>
        <v>0</v>
      </c>
    </row>
    <row r="66" spans="1:13" s="27" customFormat="1" ht="36" customHeight="1">
      <c r="A66" s="28">
        <v>22090400</v>
      </c>
      <c r="B66" s="23" t="s">
        <v>178</v>
      </c>
      <c r="C66" s="98"/>
      <c r="D66" s="98"/>
      <c r="E66" s="113">
        <v>0</v>
      </c>
      <c r="F66" s="123">
        <v>1640.5</v>
      </c>
      <c r="G66" s="7">
        <f t="shared" si="5"/>
        <v>0</v>
      </c>
      <c r="H66" s="7">
        <f t="shared" si="2"/>
        <v>0</v>
      </c>
      <c r="I66" s="8">
        <f t="shared" si="6"/>
        <v>1640.5</v>
      </c>
      <c r="J66" s="8">
        <f t="shared" si="1"/>
        <v>1640.5</v>
      </c>
      <c r="K66" s="129">
        <v>153</v>
      </c>
      <c r="L66" s="87">
        <f t="shared" si="3"/>
        <v>1487.5</v>
      </c>
      <c r="M66" s="89">
        <f t="shared" si="4"/>
        <v>1072.2222222222222</v>
      </c>
    </row>
    <row r="67" spans="1:13" s="32" customFormat="1" ht="26.25" customHeight="1">
      <c r="A67" s="20">
        <v>24000000</v>
      </c>
      <c r="B67" s="21" t="s">
        <v>120</v>
      </c>
      <c r="C67" s="97">
        <f>C68</f>
        <v>20000</v>
      </c>
      <c r="D67" s="97">
        <f>D68</f>
        <v>20000</v>
      </c>
      <c r="E67" s="97">
        <f>E68</f>
        <v>20000</v>
      </c>
      <c r="F67" s="97">
        <f>F68</f>
        <v>120584.27</v>
      </c>
      <c r="G67" s="46">
        <f t="shared" si="5"/>
        <v>602.9213500000001</v>
      </c>
      <c r="H67" s="46">
        <f t="shared" si="2"/>
        <v>602.9213500000001</v>
      </c>
      <c r="I67" s="30">
        <f t="shared" si="6"/>
        <v>100584.27</v>
      </c>
      <c r="J67" s="30">
        <f t="shared" si="1"/>
        <v>100584.27</v>
      </c>
      <c r="K67" s="90">
        <f>SUM(K68)</f>
        <v>20374.56</v>
      </c>
      <c r="L67" s="77">
        <f t="shared" si="3"/>
        <v>100209.71</v>
      </c>
      <c r="M67" s="88">
        <f t="shared" si="4"/>
        <v>591.8374188203328</v>
      </c>
    </row>
    <row r="68" spans="1:13" s="10" customFormat="1" ht="26.25" customHeight="1">
      <c r="A68" s="28">
        <v>24060300</v>
      </c>
      <c r="B68" s="23" t="s">
        <v>3</v>
      </c>
      <c r="C68" s="98">
        <v>20000</v>
      </c>
      <c r="D68" s="98">
        <v>20000</v>
      </c>
      <c r="E68" s="112">
        <v>20000</v>
      </c>
      <c r="F68" s="113">
        <v>120584.27</v>
      </c>
      <c r="G68" s="7">
        <f t="shared" si="5"/>
        <v>602.9213500000001</v>
      </c>
      <c r="H68" s="7">
        <f t="shared" si="2"/>
        <v>602.9213500000001</v>
      </c>
      <c r="I68" s="8">
        <f t="shared" si="6"/>
        <v>100584.27</v>
      </c>
      <c r="J68" s="8">
        <f t="shared" si="1"/>
        <v>100584.27</v>
      </c>
      <c r="K68" s="127">
        <v>20374.56</v>
      </c>
      <c r="L68" s="87">
        <f t="shared" si="3"/>
        <v>100209.71</v>
      </c>
      <c r="M68" s="89">
        <f t="shared" si="4"/>
        <v>591.8374188203328</v>
      </c>
    </row>
    <row r="69" spans="1:13" s="32" customFormat="1" ht="38.25" customHeight="1">
      <c r="A69" s="33"/>
      <c r="B69" s="29" t="s">
        <v>35</v>
      </c>
      <c r="C69" s="59">
        <f>C12+C17+C56+C61+C50+C19+C22+C30+C31+C44+C63+C26+C28+C52+C67</f>
        <v>49786190</v>
      </c>
      <c r="D69" s="59">
        <f>D12+D17+D56+D61+D50+D19+D22+D30+D31+D44+D63+D26+D28+D52+D67</f>
        <v>49263890</v>
      </c>
      <c r="E69" s="59">
        <f>E12+E17+E56+E61+E50+E19+E22+E30+E31+E44+E63+E26+E28+E52+E67</f>
        <v>43774346</v>
      </c>
      <c r="F69" s="59">
        <f>F12+F17+F56+F61+F50+F19+F22+F30+F31+F44+F63+F26+F28+F52+F67</f>
        <v>46114835.800000004</v>
      </c>
      <c r="G69" s="46">
        <f t="shared" si="5"/>
        <v>105.34671563111418</v>
      </c>
      <c r="H69" s="46">
        <f t="shared" si="2"/>
        <v>93.60778411936208</v>
      </c>
      <c r="I69" s="30">
        <f t="shared" si="6"/>
        <v>2340489.8000000045</v>
      </c>
      <c r="J69" s="30">
        <f t="shared" si="1"/>
        <v>-3149054.1999999955</v>
      </c>
      <c r="K69" s="59">
        <f>K12+K17+K56+K61+K50+K19+K22+K30+K31+K44+K63+K26+K28+K52+K67</f>
        <v>41979141.36</v>
      </c>
      <c r="L69" s="77">
        <f t="shared" si="3"/>
        <v>4135694.440000005</v>
      </c>
      <c r="M69" s="88">
        <f t="shared" si="4"/>
        <v>109.85178425764734</v>
      </c>
    </row>
    <row r="70" spans="1:13" s="10" customFormat="1" ht="18" customHeight="1">
      <c r="A70" s="12"/>
      <c r="B70" s="11" t="s">
        <v>36</v>
      </c>
      <c r="C70" s="59"/>
      <c r="D70" s="59"/>
      <c r="E70" s="59"/>
      <c r="F70" s="59"/>
      <c r="G70" s="63"/>
      <c r="H70" s="63"/>
      <c r="I70" s="59"/>
      <c r="J70" s="59"/>
      <c r="K70" s="78"/>
      <c r="L70" s="78"/>
      <c r="M70" s="91"/>
    </row>
    <row r="71" spans="1:13" s="10" customFormat="1" ht="43.5" customHeight="1">
      <c r="A71" s="12">
        <v>41033200</v>
      </c>
      <c r="B71" s="73" t="s">
        <v>192</v>
      </c>
      <c r="C71" s="60"/>
      <c r="D71" s="60"/>
      <c r="E71" s="59"/>
      <c r="F71" s="59"/>
      <c r="G71" s="7">
        <f>IF(E71=0,0,F71/E71%)</f>
        <v>0</v>
      </c>
      <c r="H71" s="7">
        <f>IF(D71=0,0,F71/D71%)</f>
        <v>0</v>
      </c>
      <c r="I71" s="8">
        <f>F71-E71</f>
        <v>0</v>
      </c>
      <c r="J71" s="8">
        <f>F71-D71</f>
        <v>0</v>
      </c>
      <c r="K71" s="60">
        <v>2488000</v>
      </c>
      <c r="L71" s="87">
        <f>IF(K71=0,0,F71-K71)</f>
        <v>-2488000</v>
      </c>
      <c r="M71" s="89">
        <f>IF(K71=0,0,F71/K71*100)</f>
        <v>0</v>
      </c>
    </row>
    <row r="72" spans="1:13" s="10" customFormat="1" ht="28.5" customHeight="1">
      <c r="A72" s="9">
        <v>41033900</v>
      </c>
      <c r="B72" s="74" t="s">
        <v>59</v>
      </c>
      <c r="C72" s="98">
        <v>16726800</v>
      </c>
      <c r="D72" s="98">
        <v>18378000</v>
      </c>
      <c r="E72" s="113">
        <v>16667100</v>
      </c>
      <c r="F72" s="123">
        <v>16667100</v>
      </c>
      <c r="G72" s="7">
        <f t="shared" si="5"/>
        <v>100</v>
      </c>
      <c r="H72" s="7">
        <f t="shared" si="2"/>
        <v>90.69049951028404</v>
      </c>
      <c r="I72" s="8">
        <f t="shared" si="6"/>
        <v>0</v>
      </c>
      <c r="J72" s="8">
        <f aca="true" t="shared" si="14" ref="J72:J95">F72-D72</f>
        <v>-1710900</v>
      </c>
      <c r="K72" s="130">
        <v>14202600</v>
      </c>
      <c r="L72" s="87">
        <f t="shared" si="3"/>
        <v>2464500</v>
      </c>
      <c r="M72" s="89">
        <f t="shared" si="4"/>
        <v>117.3524565924549</v>
      </c>
    </row>
    <row r="73" spans="1:13" s="10" customFormat="1" ht="27.75" customHeight="1">
      <c r="A73" s="9">
        <v>41034200</v>
      </c>
      <c r="B73" s="74" t="s">
        <v>60</v>
      </c>
      <c r="C73" s="98">
        <v>1261300</v>
      </c>
      <c r="D73" s="98">
        <v>1261300</v>
      </c>
      <c r="E73" s="113">
        <v>1261300</v>
      </c>
      <c r="F73" s="123">
        <v>1261300</v>
      </c>
      <c r="G73" s="7">
        <f t="shared" si="5"/>
        <v>100</v>
      </c>
      <c r="H73" s="7">
        <f t="shared" si="2"/>
        <v>100</v>
      </c>
      <c r="I73" s="8">
        <f aca="true" t="shared" si="15" ref="I73:I79">F73-E73</f>
        <v>0</v>
      </c>
      <c r="J73" s="8">
        <f t="shared" si="14"/>
        <v>0</v>
      </c>
      <c r="K73" s="127">
        <v>4359700</v>
      </c>
      <c r="L73" s="87">
        <f t="shared" si="3"/>
        <v>-3098400</v>
      </c>
      <c r="M73" s="89">
        <f t="shared" si="4"/>
        <v>28.93088974011973</v>
      </c>
    </row>
    <row r="74" spans="1:13" s="10" customFormat="1" ht="57.75" customHeight="1">
      <c r="A74" s="9">
        <v>41040200</v>
      </c>
      <c r="B74" s="74" t="s">
        <v>107</v>
      </c>
      <c r="C74" s="98">
        <v>2888200</v>
      </c>
      <c r="D74" s="98">
        <v>2888200</v>
      </c>
      <c r="E74" s="113">
        <v>2647513</v>
      </c>
      <c r="F74" s="123">
        <v>2647513</v>
      </c>
      <c r="G74" s="7">
        <f t="shared" si="5"/>
        <v>100</v>
      </c>
      <c r="H74" s="7">
        <f t="shared" si="2"/>
        <v>91.66653971331625</v>
      </c>
      <c r="I74" s="8">
        <f t="shared" si="15"/>
        <v>0</v>
      </c>
      <c r="J74" s="8">
        <f t="shared" si="14"/>
        <v>-240687</v>
      </c>
      <c r="K74" s="127">
        <v>4651328</v>
      </c>
      <c r="L74" s="87">
        <f t="shared" si="3"/>
        <v>-2003815</v>
      </c>
      <c r="M74" s="89">
        <f t="shared" si="4"/>
        <v>56.919507719085814</v>
      </c>
    </row>
    <row r="75" spans="1:13" s="10" customFormat="1" ht="89.25" customHeight="1" hidden="1">
      <c r="A75" s="9">
        <v>41050900</v>
      </c>
      <c r="B75" s="74" t="s">
        <v>203</v>
      </c>
      <c r="C75" s="98">
        <v>0</v>
      </c>
      <c r="D75" s="98">
        <v>0</v>
      </c>
      <c r="E75" s="98"/>
      <c r="F75" s="98"/>
      <c r="G75" s="7">
        <f>IF(E75=0,0,F75/E75%)</f>
        <v>0</v>
      </c>
      <c r="H75" s="7">
        <f>IF(D75=0,0,F75/D75%)</f>
        <v>0</v>
      </c>
      <c r="I75" s="8">
        <f>F75-E75</f>
        <v>0</v>
      </c>
      <c r="J75" s="8">
        <f>F75-D75</f>
        <v>0</v>
      </c>
      <c r="K75" s="98">
        <v>0</v>
      </c>
      <c r="L75" s="87">
        <f t="shared" si="3"/>
        <v>0</v>
      </c>
      <c r="M75" s="89">
        <f t="shared" si="4"/>
        <v>0</v>
      </c>
    </row>
    <row r="76" spans="1:13" s="10" customFormat="1" ht="41.25" customHeight="1">
      <c r="A76" s="9">
        <v>41051000</v>
      </c>
      <c r="B76" s="74" t="s">
        <v>231</v>
      </c>
      <c r="C76" s="98">
        <v>132507</v>
      </c>
      <c r="D76" s="98">
        <v>465572</v>
      </c>
      <c r="E76" s="113">
        <v>455143</v>
      </c>
      <c r="F76" s="123">
        <v>320209</v>
      </c>
      <c r="G76" s="7">
        <f>IF(E76=0,0,F76/E76%)</f>
        <v>70.35349329771083</v>
      </c>
      <c r="H76" s="7">
        <f>IF(D76=0,0,F76/D76%)</f>
        <v>68.77754675968485</v>
      </c>
      <c r="I76" s="8">
        <f>F76-E76</f>
        <v>-134934</v>
      </c>
      <c r="J76" s="8">
        <f>F76-D76</f>
        <v>-145363</v>
      </c>
      <c r="K76" s="127">
        <v>260190</v>
      </c>
      <c r="L76" s="87">
        <f>F76-K76</f>
        <v>60019</v>
      </c>
      <c r="M76" s="89">
        <f t="shared" si="4"/>
        <v>123.06737384219224</v>
      </c>
    </row>
    <row r="77" spans="1:13" s="10" customFormat="1" ht="39" customHeight="1">
      <c r="A77" s="9">
        <v>41051100</v>
      </c>
      <c r="B77" s="74" t="s">
        <v>109</v>
      </c>
      <c r="C77" s="98"/>
      <c r="D77" s="98"/>
      <c r="E77" s="98"/>
      <c r="F77" s="98"/>
      <c r="G77" s="7">
        <f t="shared" si="5"/>
        <v>0</v>
      </c>
      <c r="H77" s="7">
        <f aca="true" t="shared" si="16" ref="H77:H129">IF(D77=0,0,F77/D77%)</f>
        <v>0</v>
      </c>
      <c r="I77" s="8">
        <f t="shared" si="15"/>
        <v>0</v>
      </c>
      <c r="J77" s="8">
        <f t="shared" si="14"/>
        <v>0</v>
      </c>
      <c r="K77" s="127">
        <v>151208.68</v>
      </c>
      <c r="L77" s="87">
        <f t="shared" si="3"/>
        <v>-151208.68</v>
      </c>
      <c r="M77" s="89">
        <f t="shared" si="4"/>
        <v>0</v>
      </c>
    </row>
    <row r="78" spans="1:13" s="10" customFormat="1" ht="59.25" customHeight="1">
      <c r="A78" s="9">
        <v>41051200</v>
      </c>
      <c r="B78" s="74" t="s">
        <v>199</v>
      </c>
      <c r="C78" s="98">
        <v>160265</v>
      </c>
      <c r="D78" s="98">
        <v>169600</v>
      </c>
      <c r="E78" s="113">
        <v>161188</v>
      </c>
      <c r="F78" s="123">
        <v>126512</v>
      </c>
      <c r="G78" s="7">
        <f>IF(E78=0,0,F78/E78%)</f>
        <v>78.48723230017123</v>
      </c>
      <c r="H78" s="7">
        <f>IF(D78=0,0,F78/D78%)</f>
        <v>74.59433962264151</v>
      </c>
      <c r="I78" s="8">
        <f t="shared" si="15"/>
        <v>-34676</v>
      </c>
      <c r="J78" s="8">
        <f>F78-D78</f>
        <v>-43088</v>
      </c>
      <c r="K78" s="127">
        <v>34778</v>
      </c>
      <c r="L78" s="87">
        <f>F78-K78</f>
        <v>91734</v>
      </c>
      <c r="M78" s="89">
        <f>IF(K78=0,0,F78/K78*100)</f>
        <v>363.7701995514406</v>
      </c>
    </row>
    <row r="79" spans="1:13" s="10" customFormat="1" ht="61.5" customHeight="1">
      <c r="A79" s="9">
        <v>41051400</v>
      </c>
      <c r="B79" s="74" t="s">
        <v>200</v>
      </c>
      <c r="C79" s="98"/>
      <c r="D79" s="98">
        <v>196602</v>
      </c>
      <c r="E79" s="98">
        <v>196602</v>
      </c>
      <c r="F79" s="98">
        <v>192252</v>
      </c>
      <c r="G79" s="7">
        <f>IF(E79=0,0,F79/E79%)</f>
        <v>97.78740806299021</v>
      </c>
      <c r="H79" s="7">
        <f>IF(D79=0,0,F79/D79%)</f>
        <v>97.78740806299021</v>
      </c>
      <c r="I79" s="8">
        <f t="shared" si="15"/>
        <v>-4350</v>
      </c>
      <c r="J79" s="8">
        <f>F79-D79</f>
        <v>-4350</v>
      </c>
      <c r="K79" s="127">
        <v>192537</v>
      </c>
      <c r="L79" s="87">
        <f>IF(K79=0,0,F79-K79)</f>
        <v>-285</v>
      </c>
      <c r="M79" s="89">
        <f>IF(K79=0,0,F79/K79*100)</f>
        <v>99.85197650321757</v>
      </c>
    </row>
    <row r="80" spans="1:13" s="10" customFormat="1" ht="36.75" customHeight="1">
      <c r="A80" s="9">
        <v>41051500</v>
      </c>
      <c r="B80" s="74" t="s">
        <v>108</v>
      </c>
      <c r="C80" s="98">
        <v>34100</v>
      </c>
      <c r="D80" s="98">
        <v>34100</v>
      </c>
      <c r="E80" s="113">
        <v>34100</v>
      </c>
      <c r="F80" s="123">
        <v>34094.5</v>
      </c>
      <c r="G80" s="7">
        <f t="shared" si="5"/>
        <v>99.98387096774194</v>
      </c>
      <c r="H80" s="7">
        <f t="shared" si="16"/>
        <v>99.98387096774194</v>
      </c>
      <c r="I80" s="8">
        <f t="shared" si="6"/>
        <v>-5.5</v>
      </c>
      <c r="J80" s="8">
        <f t="shared" si="14"/>
        <v>-5.5</v>
      </c>
      <c r="K80" s="130">
        <v>115873</v>
      </c>
      <c r="L80" s="87">
        <f t="shared" si="3"/>
        <v>-81778.5</v>
      </c>
      <c r="M80" s="89">
        <f t="shared" si="4"/>
        <v>29.424024578633507</v>
      </c>
    </row>
    <row r="81" spans="1:13" s="10" customFormat="1" ht="52.5" customHeight="1" hidden="1">
      <c r="A81" s="9">
        <v>41051600</v>
      </c>
      <c r="B81" s="75" t="s">
        <v>110</v>
      </c>
      <c r="C81" s="98"/>
      <c r="D81" s="98"/>
      <c r="E81" s="99"/>
      <c r="F81" s="99"/>
      <c r="G81" s="7">
        <f t="shared" si="5"/>
        <v>0</v>
      </c>
      <c r="H81" s="7">
        <f t="shared" si="16"/>
        <v>0</v>
      </c>
      <c r="I81" s="61">
        <f t="shared" si="6"/>
        <v>0</v>
      </c>
      <c r="J81" s="8">
        <f t="shared" si="14"/>
        <v>0</v>
      </c>
      <c r="K81" s="125"/>
      <c r="L81" s="87">
        <f t="shared" si="3"/>
        <v>0</v>
      </c>
      <c r="M81" s="89">
        <f t="shared" si="4"/>
        <v>0</v>
      </c>
    </row>
    <row r="82" spans="1:13" s="10" customFormat="1" ht="57" customHeight="1">
      <c r="A82" s="9">
        <v>41052000</v>
      </c>
      <c r="B82" s="18" t="s">
        <v>111</v>
      </c>
      <c r="C82" s="98"/>
      <c r="D82" s="98"/>
      <c r="E82" s="99"/>
      <c r="F82" s="99"/>
      <c r="G82" s="7">
        <f t="shared" si="5"/>
        <v>0</v>
      </c>
      <c r="H82" s="7">
        <f t="shared" si="16"/>
        <v>0</v>
      </c>
      <c r="I82" s="8">
        <f t="shared" si="6"/>
        <v>0</v>
      </c>
      <c r="J82" s="8">
        <f t="shared" si="14"/>
        <v>0</v>
      </c>
      <c r="K82" s="130">
        <v>48238.06</v>
      </c>
      <c r="L82" s="87">
        <f t="shared" si="3"/>
        <v>-48238.06</v>
      </c>
      <c r="M82" s="89">
        <f t="shared" si="4"/>
        <v>0</v>
      </c>
    </row>
    <row r="83" spans="1:13" s="10" customFormat="1" ht="57" customHeight="1">
      <c r="A83" s="9">
        <v>41053000</v>
      </c>
      <c r="B83" s="18" t="s">
        <v>262</v>
      </c>
      <c r="C83" s="98"/>
      <c r="D83" s="98">
        <v>541186</v>
      </c>
      <c r="E83" s="99">
        <v>541186</v>
      </c>
      <c r="F83" s="99">
        <v>450053.54</v>
      </c>
      <c r="G83" s="7">
        <f>IF(E83=0,0,F83/E83%)</f>
        <v>83.16060282416767</v>
      </c>
      <c r="H83" s="7">
        <f>IF(D83=0,0,F83/D83%)</f>
        <v>83.16060282416767</v>
      </c>
      <c r="I83" s="8">
        <f>F83-E83</f>
        <v>-91132.46000000002</v>
      </c>
      <c r="J83" s="8">
        <f>F83-D83</f>
        <v>-91132.46000000002</v>
      </c>
      <c r="K83" s="131"/>
      <c r="L83" s="87">
        <f>IF(K83=0,0,F83-K83)</f>
        <v>0</v>
      </c>
      <c r="M83" s="89">
        <f>IF(K83=0,0,F83/K83*100)</f>
        <v>0</v>
      </c>
    </row>
    <row r="84" spans="1:13" s="10" customFormat="1" ht="21" customHeight="1">
      <c r="A84" s="9">
        <v>41053900</v>
      </c>
      <c r="B84" s="18" t="s">
        <v>113</v>
      </c>
      <c r="C84" s="98">
        <v>98388</v>
      </c>
      <c r="D84" s="98">
        <v>98388</v>
      </c>
      <c r="E84" s="113">
        <v>65428</v>
      </c>
      <c r="F84" s="123">
        <v>55428</v>
      </c>
      <c r="G84" s="7">
        <f t="shared" si="5"/>
        <v>84.71602372073119</v>
      </c>
      <c r="H84" s="7">
        <f t="shared" si="16"/>
        <v>56.33613855348213</v>
      </c>
      <c r="I84" s="8">
        <f t="shared" si="6"/>
        <v>-10000</v>
      </c>
      <c r="J84" s="8">
        <f t="shared" si="14"/>
        <v>-42960</v>
      </c>
      <c r="K84" s="78"/>
      <c r="L84" s="87">
        <f t="shared" si="3"/>
        <v>0</v>
      </c>
      <c r="M84" s="89">
        <f t="shared" si="4"/>
        <v>0</v>
      </c>
    </row>
    <row r="85" spans="1:13" s="10" customFormat="1" ht="108" hidden="1">
      <c r="A85" s="9">
        <v>41054100</v>
      </c>
      <c r="B85" s="31" t="s">
        <v>114</v>
      </c>
      <c r="C85" s="98"/>
      <c r="D85" s="98"/>
      <c r="E85" s="99"/>
      <c r="F85" s="99"/>
      <c r="G85" s="7">
        <f t="shared" si="5"/>
        <v>0</v>
      </c>
      <c r="H85" s="7">
        <f t="shared" si="16"/>
        <v>0</v>
      </c>
      <c r="I85" s="8">
        <f t="shared" si="6"/>
        <v>0</v>
      </c>
      <c r="J85" s="8">
        <f t="shared" si="14"/>
        <v>0</v>
      </c>
      <c r="K85" s="78"/>
      <c r="L85" s="87">
        <f t="shared" si="3"/>
        <v>0</v>
      </c>
      <c r="M85" s="89">
        <f t="shared" si="4"/>
        <v>0</v>
      </c>
    </row>
    <row r="86" spans="1:13" s="10" customFormat="1" ht="58.5" customHeight="1">
      <c r="A86" s="9">
        <v>41054300</v>
      </c>
      <c r="B86" s="31" t="s">
        <v>238</v>
      </c>
      <c r="C86" s="98"/>
      <c r="D86" s="98"/>
      <c r="E86" s="99"/>
      <c r="F86" s="99"/>
      <c r="G86" s="7">
        <f>IF(E86=0,0,F86/E86%)</f>
        <v>0</v>
      </c>
      <c r="H86" s="7">
        <f>IF(D86=0,0,F86/D86%)</f>
        <v>0</v>
      </c>
      <c r="I86" s="8">
        <f>F86-E86</f>
        <v>0</v>
      </c>
      <c r="J86" s="8">
        <f>F86-D86</f>
        <v>0</v>
      </c>
      <c r="K86" s="128">
        <v>75000</v>
      </c>
      <c r="L86" s="87">
        <f>IF(K86=0,0,F86-K86)</f>
        <v>-75000</v>
      </c>
      <c r="M86" s="89">
        <f>IF(K86=0,0,F86/K86*100)</f>
        <v>0</v>
      </c>
    </row>
    <row r="87" spans="1:13" s="10" customFormat="1" ht="58.5" customHeight="1">
      <c r="A87" s="9">
        <v>41055000</v>
      </c>
      <c r="B87" s="31" t="s">
        <v>259</v>
      </c>
      <c r="C87" s="98"/>
      <c r="D87" s="123">
        <v>343230</v>
      </c>
      <c r="E87" s="113">
        <v>343230</v>
      </c>
      <c r="F87" s="123">
        <v>374302</v>
      </c>
      <c r="G87" s="7">
        <f>IF(E87=0,0,F87/E87%)</f>
        <v>109.05282172304285</v>
      </c>
      <c r="H87" s="7">
        <f>IF(D87=0,0,F87/D87%)</f>
        <v>109.05282172304285</v>
      </c>
      <c r="I87" s="8">
        <f>F87-E87</f>
        <v>31072</v>
      </c>
      <c r="J87" s="8">
        <f>F87-D87</f>
        <v>31072</v>
      </c>
      <c r="K87" s="78"/>
      <c r="L87" s="87">
        <f>IF(K87=0,0,F87-K87)</f>
        <v>0</v>
      </c>
      <c r="M87" s="89">
        <f>IF(K87=0,0,F87/K87*100)</f>
        <v>0</v>
      </c>
    </row>
    <row r="88" spans="1:13" s="32" customFormat="1" ht="19.5" customHeight="1">
      <c r="A88" s="15"/>
      <c r="B88" s="29" t="s">
        <v>37</v>
      </c>
      <c r="C88" s="97">
        <f>SUM(C71:C87)</f>
        <v>21301560</v>
      </c>
      <c r="D88" s="97">
        <f>SUM(D71:D87)</f>
        <v>24376178</v>
      </c>
      <c r="E88" s="97">
        <f>SUM(E71:E87)</f>
        <v>22372790</v>
      </c>
      <c r="F88" s="97">
        <f>SUM(F71:F87)</f>
        <v>22128764.04</v>
      </c>
      <c r="G88" s="46">
        <f t="shared" si="5"/>
        <v>98.90927345226054</v>
      </c>
      <c r="H88" s="46">
        <f t="shared" si="16"/>
        <v>90.78028573634472</v>
      </c>
      <c r="I88" s="30">
        <f aca="true" t="shared" si="17" ref="I88:I118">F88-E88</f>
        <v>-244025.9600000009</v>
      </c>
      <c r="J88" s="30">
        <f t="shared" si="14"/>
        <v>-2247413.960000001</v>
      </c>
      <c r="K88" s="90">
        <f>SUM(K71:K87)</f>
        <v>26579452.74</v>
      </c>
      <c r="L88" s="77">
        <f t="shared" si="3"/>
        <v>-4450688.699999999</v>
      </c>
      <c r="M88" s="88">
        <f t="shared" si="4"/>
        <v>83.25515298024906</v>
      </c>
    </row>
    <row r="89" spans="1:13" s="32" customFormat="1" ht="18" customHeight="1">
      <c r="A89" s="33"/>
      <c r="B89" s="13" t="s">
        <v>19</v>
      </c>
      <c r="C89" s="59">
        <f>C69+C88</f>
        <v>71087750</v>
      </c>
      <c r="D89" s="59">
        <f>D69+D88</f>
        <v>73640068</v>
      </c>
      <c r="E89" s="59">
        <f>E69+E88</f>
        <v>66147136</v>
      </c>
      <c r="F89" s="59">
        <f>F69+F88</f>
        <v>68243599.84</v>
      </c>
      <c r="G89" s="46">
        <f t="shared" si="5"/>
        <v>103.16939472632649</v>
      </c>
      <c r="H89" s="46">
        <f t="shared" si="16"/>
        <v>92.67183164469647</v>
      </c>
      <c r="I89" s="30">
        <f t="shared" si="17"/>
        <v>2096463.8400000036</v>
      </c>
      <c r="J89" s="30">
        <f t="shared" si="14"/>
        <v>-5396468.159999996</v>
      </c>
      <c r="K89" s="90">
        <f>SUM(K88,K69)</f>
        <v>68558594.1</v>
      </c>
      <c r="L89" s="77">
        <f t="shared" si="3"/>
        <v>-314994.25999999046</v>
      </c>
      <c r="M89" s="88">
        <f t="shared" si="4"/>
        <v>99.54054737537275</v>
      </c>
    </row>
    <row r="90" spans="1:13" s="10" customFormat="1" ht="18" customHeight="1">
      <c r="A90" s="12"/>
      <c r="B90" s="14" t="s">
        <v>4</v>
      </c>
      <c r="C90" s="98"/>
      <c r="D90" s="98"/>
      <c r="E90" s="98"/>
      <c r="F90" s="98"/>
      <c r="G90" s="7"/>
      <c r="H90" s="7"/>
      <c r="I90" s="30"/>
      <c r="J90" s="30"/>
      <c r="K90" s="78"/>
      <c r="L90" s="87">
        <f t="shared" si="3"/>
        <v>0</v>
      </c>
      <c r="M90" s="89">
        <f t="shared" si="4"/>
        <v>0</v>
      </c>
    </row>
    <row r="91" spans="1:13" s="32" customFormat="1" ht="18" customHeight="1">
      <c r="A91" s="33">
        <v>19000000</v>
      </c>
      <c r="B91" s="16" t="s">
        <v>103</v>
      </c>
      <c r="C91" s="97">
        <f>C92</f>
        <v>70000</v>
      </c>
      <c r="D91" s="97">
        <f>D92</f>
        <v>70000</v>
      </c>
      <c r="E91" s="97">
        <f>E92</f>
        <v>70000</v>
      </c>
      <c r="F91" s="97">
        <f>F92</f>
        <v>60887.28999999999</v>
      </c>
      <c r="G91" s="46">
        <f t="shared" si="5"/>
        <v>86.98184285714285</v>
      </c>
      <c r="H91" s="46">
        <f t="shared" si="16"/>
        <v>86.98184285714285</v>
      </c>
      <c r="I91" s="30">
        <f t="shared" si="17"/>
        <v>-9112.710000000006</v>
      </c>
      <c r="J91" s="30">
        <f t="shared" si="14"/>
        <v>-9112.710000000006</v>
      </c>
      <c r="K91" s="90">
        <f>SUM(K92)</f>
        <v>70202.09</v>
      </c>
      <c r="L91" s="77">
        <f t="shared" si="3"/>
        <v>-9314.800000000003</v>
      </c>
      <c r="M91" s="88">
        <f t="shared" si="4"/>
        <v>86.73144916340809</v>
      </c>
    </row>
    <row r="92" spans="1:13" s="32" customFormat="1" ht="18" customHeight="1">
      <c r="A92" s="33">
        <v>19010000</v>
      </c>
      <c r="B92" s="21" t="s">
        <v>99</v>
      </c>
      <c r="C92" s="97">
        <f>C93+C94+C95</f>
        <v>70000</v>
      </c>
      <c r="D92" s="97">
        <f>D93+D94+D95</f>
        <v>70000</v>
      </c>
      <c r="E92" s="97">
        <f>E93+E94+E95</f>
        <v>70000</v>
      </c>
      <c r="F92" s="97">
        <f>F93+F94+F95</f>
        <v>60887.28999999999</v>
      </c>
      <c r="G92" s="46">
        <f t="shared" si="5"/>
        <v>86.98184285714285</v>
      </c>
      <c r="H92" s="46">
        <f t="shared" si="16"/>
        <v>86.98184285714285</v>
      </c>
      <c r="I92" s="30">
        <f t="shared" si="17"/>
        <v>-9112.710000000006</v>
      </c>
      <c r="J92" s="30">
        <f t="shared" si="14"/>
        <v>-9112.710000000006</v>
      </c>
      <c r="K92" s="90">
        <f>SUM(K93:K95)</f>
        <v>70202.09</v>
      </c>
      <c r="L92" s="77">
        <f t="shared" si="3"/>
        <v>-9314.800000000003</v>
      </c>
      <c r="M92" s="88">
        <f t="shared" si="4"/>
        <v>86.73144916340809</v>
      </c>
    </row>
    <row r="93" spans="1:13" s="10" customFormat="1" ht="43.5" customHeight="1">
      <c r="A93" s="12">
        <v>19010100</v>
      </c>
      <c r="B93" s="23" t="s">
        <v>100</v>
      </c>
      <c r="C93" s="98">
        <v>60000</v>
      </c>
      <c r="D93" s="98">
        <v>60000</v>
      </c>
      <c r="E93" s="98">
        <v>60000</v>
      </c>
      <c r="F93" s="99">
        <v>50853.24</v>
      </c>
      <c r="G93" s="7">
        <f t="shared" si="5"/>
        <v>84.7554</v>
      </c>
      <c r="H93" s="7">
        <f t="shared" si="16"/>
        <v>84.7554</v>
      </c>
      <c r="I93" s="8">
        <f t="shared" si="17"/>
        <v>-9146.760000000002</v>
      </c>
      <c r="J93" s="8">
        <f t="shared" si="14"/>
        <v>-9146.760000000002</v>
      </c>
      <c r="K93" s="128">
        <v>59999.12</v>
      </c>
      <c r="L93" s="87">
        <f t="shared" si="3"/>
        <v>-9145.880000000005</v>
      </c>
      <c r="M93" s="89">
        <f t="shared" si="4"/>
        <v>84.75664309743209</v>
      </c>
    </row>
    <row r="94" spans="1:13" s="10" customFormat="1" ht="36.75" customHeight="1" hidden="1">
      <c r="A94" s="12">
        <v>19010200</v>
      </c>
      <c r="B94" s="23" t="s">
        <v>101</v>
      </c>
      <c r="C94" s="98">
        <v>0</v>
      </c>
      <c r="D94" s="98">
        <v>0</v>
      </c>
      <c r="E94" s="98"/>
      <c r="F94" s="99"/>
      <c r="G94" s="7">
        <f t="shared" si="5"/>
        <v>0</v>
      </c>
      <c r="H94" s="7">
        <f t="shared" si="16"/>
        <v>0</v>
      </c>
      <c r="I94" s="8">
        <f t="shared" si="17"/>
        <v>0</v>
      </c>
      <c r="J94" s="8">
        <f t="shared" si="14"/>
        <v>0</v>
      </c>
      <c r="K94" s="128">
        <v>0</v>
      </c>
      <c r="L94" s="87">
        <f t="shared" si="3"/>
        <v>0</v>
      </c>
      <c r="M94" s="89">
        <f t="shared" si="4"/>
        <v>0</v>
      </c>
    </row>
    <row r="95" spans="1:13" s="10" customFormat="1" ht="56.25" customHeight="1">
      <c r="A95" s="12">
        <v>19010300</v>
      </c>
      <c r="B95" s="23" t="s">
        <v>102</v>
      </c>
      <c r="C95" s="98">
        <v>10000</v>
      </c>
      <c r="D95" s="98">
        <v>10000</v>
      </c>
      <c r="E95" s="98">
        <v>10000</v>
      </c>
      <c r="F95" s="99">
        <v>10034.05</v>
      </c>
      <c r="G95" s="7">
        <f t="shared" si="5"/>
        <v>100.34049999999999</v>
      </c>
      <c r="H95" s="7">
        <f t="shared" si="16"/>
        <v>100.34049999999999</v>
      </c>
      <c r="I95" s="8">
        <f t="shared" si="17"/>
        <v>34.04999999999927</v>
      </c>
      <c r="J95" s="8">
        <f t="shared" si="14"/>
        <v>34.04999999999927</v>
      </c>
      <c r="K95" s="128">
        <v>10202.97</v>
      </c>
      <c r="L95" s="87">
        <f t="shared" si="3"/>
        <v>-168.92000000000007</v>
      </c>
      <c r="M95" s="89">
        <f t="shared" si="4"/>
        <v>98.34440363933247</v>
      </c>
    </row>
    <row r="96" spans="1:13" s="32" customFormat="1" ht="24.75" customHeight="1">
      <c r="A96" s="33">
        <v>24060000</v>
      </c>
      <c r="B96" s="62" t="s">
        <v>3</v>
      </c>
      <c r="C96" s="97">
        <f>C97</f>
        <v>0</v>
      </c>
      <c r="D96" s="97">
        <f>D97</f>
        <v>0</v>
      </c>
      <c r="E96" s="97">
        <f>E97</f>
        <v>0</v>
      </c>
      <c r="F96" s="97">
        <f>F97</f>
        <v>807.5</v>
      </c>
      <c r="G96" s="46">
        <f>IF(E96=0,0,F96/E96%)</f>
        <v>0</v>
      </c>
      <c r="H96" s="46">
        <f>IF(D96=0,0,F96/D96%)</f>
        <v>0</v>
      </c>
      <c r="I96" s="30">
        <f>F96-E96</f>
        <v>807.5</v>
      </c>
      <c r="J96" s="30">
        <f>F96-D96</f>
        <v>807.5</v>
      </c>
      <c r="K96" s="90">
        <f>K97</f>
        <v>8520.49</v>
      </c>
      <c r="L96" s="77">
        <f>IF(K96=0,0,F96-K96)</f>
        <v>-7712.99</v>
      </c>
      <c r="M96" s="88">
        <f>IF(K96=0,0,F96/K96*100)</f>
        <v>9.477154482899458</v>
      </c>
    </row>
    <row r="97" spans="1:13" s="10" customFormat="1" ht="56.25" customHeight="1">
      <c r="A97" s="12">
        <v>24062100</v>
      </c>
      <c r="B97" s="23" t="s">
        <v>193</v>
      </c>
      <c r="C97" s="98">
        <v>0</v>
      </c>
      <c r="D97" s="98">
        <v>0</v>
      </c>
      <c r="E97" s="98"/>
      <c r="F97" s="98">
        <v>807.5</v>
      </c>
      <c r="G97" s="7">
        <f>IF(E97=0,0,F97/E97%)</f>
        <v>0</v>
      </c>
      <c r="H97" s="7">
        <f>IF(D97=0,0,F97/D97%)</f>
        <v>0</v>
      </c>
      <c r="I97" s="8">
        <f>F97-E97</f>
        <v>807.5</v>
      </c>
      <c r="J97" s="8">
        <f>F97-D97</f>
        <v>807.5</v>
      </c>
      <c r="K97" s="127">
        <v>8520.49</v>
      </c>
      <c r="L97" s="87">
        <f>IF(K97=0,0,F97-K97)</f>
        <v>-7712.99</v>
      </c>
      <c r="M97" s="89">
        <f>IF(K97=0,0,F97/K97*100)</f>
        <v>9.477154482899458</v>
      </c>
    </row>
    <row r="98" spans="1:13" s="32" customFormat="1" ht="18" customHeight="1">
      <c r="A98" s="33">
        <v>25000000</v>
      </c>
      <c r="B98" s="29" t="s">
        <v>55</v>
      </c>
      <c r="C98" s="97">
        <f>C99+C103</f>
        <v>346127</v>
      </c>
      <c r="D98" s="97">
        <f>D99+D103</f>
        <v>346127</v>
      </c>
      <c r="E98" s="97">
        <f>E99+E103</f>
        <v>317283</v>
      </c>
      <c r="F98" s="97">
        <f>F99+F103</f>
        <v>781079.24</v>
      </c>
      <c r="G98" s="46">
        <f t="shared" si="5"/>
        <v>246.17746302197094</v>
      </c>
      <c r="H98" s="46">
        <f t="shared" si="16"/>
        <v>225.6626151672652</v>
      </c>
      <c r="I98" s="30">
        <f t="shared" si="17"/>
        <v>463796.24</v>
      </c>
      <c r="J98" s="30">
        <f aca="true" t="shared" si="18" ref="J98:J105">F98-D98</f>
        <v>434952.24</v>
      </c>
      <c r="K98" s="90">
        <f>SUM(K99,K103)</f>
        <v>345479.99000000005</v>
      </c>
      <c r="L98" s="77">
        <f aca="true" t="shared" si="19" ref="L98:L176">IF(K98=0,0,F98-K98)</f>
        <v>435599.24999999994</v>
      </c>
      <c r="M98" s="88">
        <f aca="true" t="shared" si="20" ref="M98:M176">IF(K98=0,0,F98/K98*100)</f>
        <v>226.0852328958328</v>
      </c>
    </row>
    <row r="99" spans="1:13" s="32" customFormat="1" ht="39.75" customHeight="1">
      <c r="A99" s="15">
        <v>25010000</v>
      </c>
      <c r="B99" s="16" t="s">
        <v>42</v>
      </c>
      <c r="C99" s="97">
        <f>C100+C101+C102</f>
        <v>346127</v>
      </c>
      <c r="D99" s="97">
        <f>D100+D101+D102</f>
        <v>346127</v>
      </c>
      <c r="E99" s="97">
        <f>E100+E101+E102</f>
        <v>317283</v>
      </c>
      <c r="F99" s="97">
        <f>F100+F101+F102</f>
        <v>126073.13</v>
      </c>
      <c r="G99" s="46">
        <f t="shared" si="5"/>
        <v>39.735230062751555</v>
      </c>
      <c r="H99" s="46">
        <f t="shared" si="16"/>
        <v>36.42395132422492</v>
      </c>
      <c r="I99" s="30">
        <f t="shared" si="17"/>
        <v>-191209.87</v>
      </c>
      <c r="J99" s="30">
        <f t="shared" si="18"/>
        <v>-220053.87</v>
      </c>
      <c r="K99" s="90">
        <f>SUM(K100:K102)</f>
        <v>227514.97000000003</v>
      </c>
      <c r="L99" s="77">
        <f t="shared" si="19"/>
        <v>-101441.84000000003</v>
      </c>
      <c r="M99" s="88">
        <f t="shared" si="20"/>
        <v>55.41311413486329</v>
      </c>
    </row>
    <row r="100" spans="1:13" s="10" customFormat="1" ht="39.75" customHeight="1">
      <c r="A100" s="9">
        <v>25010100</v>
      </c>
      <c r="B100" s="17" t="s">
        <v>45</v>
      </c>
      <c r="C100" s="98">
        <v>328027</v>
      </c>
      <c r="D100" s="98">
        <v>328027</v>
      </c>
      <c r="E100" s="98">
        <v>300691</v>
      </c>
      <c r="F100" s="132">
        <v>92233.32</v>
      </c>
      <c r="G100" s="7">
        <f t="shared" si="5"/>
        <v>30.673788041544313</v>
      </c>
      <c r="H100" s="7">
        <f t="shared" si="16"/>
        <v>28.117600075603534</v>
      </c>
      <c r="I100" s="8">
        <f t="shared" si="17"/>
        <v>-208457.68</v>
      </c>
      <c r="J100" s="8">
        <f t="shared" si="18"/>
        <v>-235793.68</v>
      </c>
      <c r="K100" s="128">
        <v>198169.64</v>
      </c>
      <c r="L100" s="87">
        <f t="shared" si="19"/>
        <v>-105936.32</v>
      </c>
      <c r="M100" s="89">
        <f t="shared" si="20"/>
        <v>46.54260864580467</v>
      </c>
    </row>
    <row r="101" spans="1:13" s="10" customFormat="1" ht="29.25" customHeight="1">
      <c r="A101" s="9">
        <v>25010300</v>
      </c>
      <c r="B101" s="17" t="s">
        <v>179</v>
      </c>
      <c r="C101" s="98">
        <v>18100</v>
      </c>
      <c r="D101" s="98">
        <v>18100</v>
      </c>
      <c r="E101" s="99">
        <v>16592</v>
      </c>
      <c r="F101" s="132">
        <v>32665.16</v>
      </c>
      <c r="G101" s="7">
        <f t="shared" si="5"/>
        <v>196.87295081967216</v>
      </c>
      <c r="H101" s="7">
        <f t="shared" si="16"/>
        <v>180.47049723756905</v>
      </c>
      <c r="I101" s="8">
        <f t="shared" si="17"/>
        <v>16073.16</v>
      </c>
      <c r="J101" s="8">
        <f t="shared" si="18"/>
        <v>14565.16</v>
      </c>
      <c r="K101" s="128">
        <v>28843.73</v>
      </c>
      <c r="L101" s="87">
        <f t="shared" si="19"/>
        <v>3821.4300000000003</v>
      </c>
      <c r="M101" s="89">
        <f t="shared" si="20"/>
        <v>113.24873724722843</v>
      </c>
    </row>
    <row r="102" spans="1:13" s="10" customFormat="1" ht="44.25" customHeight="1">
      <c r="A102" s="9">
        <v>25010400</v>
      </c>
      <c r="B102" s="17" t="s">
        <v>217</v>
      </c>
      <c r="C102" s="98"/>
      <c r="D102" s="99"/>
      <c r="E102" s="99"/>
      <c r="F102" s="132">
        <v>1174.65</v>
      </c>
      <c r="G102" s="7">
        <f t="shared" si="5"/>
        <v>0</v>
      </c>
      <c r="H102" s="7">
        <f t="shared" si="16"/>
        <v>0</v>
      </c>
      <c r="I102" s="8">
        <f t="shared" si="17"/>
        <v>1174.65</v>
      </c>
      <c r="J102" s="8">
        <f t="shared" si="18"/>
        <v>1174.65</v>
      </c>
      <c r="K102" s="128">
        <v>501.6</v>
      </c>
      <c r="L102" s="87">
        <f t="shared" si="19"/>
        <v>673.0500000000001</v>
      </c>
      <c r="M102" s="89">
        <f t="shared" si="20"/>
        <v>234.18062200956936</v>
      </c>
    </row>
    <row r="103" spans="1:13" s="32" customFormat="1" ht="22.5" customHeight="1">
      <c r="A103" s="15">
        <v>25020000</v>
      </c>
      <c r="B103" s="26" t="s">
        <v>177</v>
      </c>
      <c r="C103" s="97">
        <f>C104+C105</f>
        <v>0</v>
      </c>
      <c r="D103" s="97">
        <f>D104+D105</f>
        <v>0</v>
      </c>
      <c r="E103" s="97">
        <f>E104+E105</f>
        <v>0</v>
      </c>
      <c r="F103" s="97">
        <f>F104+F105</f>
        <v>655006.11</v>
      </c>
      <c r="G103" s="46">
        <f t="shared" si="5"/>
        <v>0</v>
      </c>
      <c r="H103" s="46">
        <f t="shared" si="16"/>
        <v>0</v>
      </c>
      <c r="I103" s="30">
        <f t="shared" si="17"/>
        <v>655006.11</v>
      </c>
      <c r="J103" s="30">
        <f t="shared" si="18"/>
        <v>655006.11</v>
      </c>
      <c r="K103" s="90">
        <f>SUM(K104:K105)</f>
        <v>117965.02</v>
      </c>
      <c r="L103" s="77">
        <f t="shared" si="19"/>
        <v>537041.09</v>
      </c>
      <c r="M103" s="88">
        <f t="shared" si="20"/>
        <v>555.2545237562796</v>
      </c>
    </row>
    <row r="104" spans="1:13" s="10" customFormat="1" ht="22.5" customHeight="1">
      <c r="A104" s="9">
        <v>25020100</v>
      </c>
      <c r="B104" s="25" t="s">
        <v>180</v>
      </c>
      <c r="C104" s="98"/>
      <c r="D104" s="99"/>
      <c r="E104" s="99">
        <v>0</v>
      </c>
      <c r="F104" s="99">
        <v>1</v>
      </c>
      <c r="G104" s="7">
        <f t="shared" si="5"/>
        <v>0</v>
      </c>
      <c r="H104" s="7">
        <f t="shared" si="16"/>
        <v>0</v>
      </c>
      <c r="I104" s="8">
        <f t="shared" si="17"/>
        <v>1</v>
      </c>
      <c r="J104" s="8">
        <f t="shared" si="18"/>
        <v>1</v>
      </c>
      <c r="K104" s="107"/>
      <c r="L104" s="87">
        <f t="shared" si="19"/>
        <v>0</v>
      </c>
      <c r="M104" s="89">
        <f t="shared" si="20"/>
        <v>0</v>
      </c>
    </row>
    <row r="105" spans="1:13" s="10" customFormat="1" ht="110.25" customHeight="1">
      <c r="A105" s="9">
        <v>25020200</v>
      </c>
      <c r="B105" s="17" t="s">
        <v>181</v>
      </c>
      <c r="C105" s="98"/>
      <c r="D105" s="99"/>
      <c r="E105" s="99">
        <v>0</v>
      </c>
      <c r="F105" s="99">
        <v>655005.11</v>
      </c>
      <c r="G105" s="7">
        <f t="shared" si="5"/>
        <v>0</v>
      </c>
      <c r="H105" s="7">
        <f t="shared" si="16"/>
        <v>0</v>
      </c>
      <c r="I105" s="8">
        <f t="shared" si="17"/>
        <v>655005.11</v>
      </c>
      <c r="J105" s="8">
        <f t="shared" si="18"/>
        <v>655005.11</v>
      </c>
      <c r="K105" s="128">
        <v>117965.02</v>
      </c>
      <c r="L105" s="87">
        <f t="shared" si="19"/>
        <v>537040.09</v>
      </c>
      <c r="M105" s="89">
        <f t="shared" si="20"/>
        <v>555.253676047357</v>
      </c>
    </row>
    <row r="106" spans="1:13" s="32" customFormat="1" ht="44.25" customHeight="1">
      <c r="A106" s="15">
        <v>31030000</v>
      </c>
      <c r="B106" s="19" t="s">
        <v>257</v>
      </c>
      <c r="C106" s="97">
        <f>SUM(C107)</f>
        <v>0</v>
      </c>
      <c r="D106" s="97">
        <f>SUM(D107)</f>
        <v>32900</v>
      </c>
      <c r="E106" s="97">
        <f>SUM(E107)</f>
        <v>32900</v>
      </c>
      <c r="F106" s="97">
        <f>SUM(F107)</f>
        <v>43100</v>
      </c>
      <c r="G106" s="7">
        <f>IF(E106=0,0,F106/E106%)</f>
        <v>131.0030395136778</v>
      </c>
      <c r="H106" s="7">
        <f>IF(D106=0,0,F106/D106%)</f>
        <v>131.0030395136778</v>
      </c>
      <c r="I106" s="8">
        <f>F106-E106</f>
        <v>10200</v>
      </c>
      <c r="J106" s="8">
        <f>F106-D106</f>
        <v>10200</v>
      </c>
      <c r="K106" s="117"/>
      <c r="L106" s="87">
        <f>F106-K106</f>
        <v>43100</v>
      </c>
      <c r="M106" s="89">
        <f>IF(K106=0,0,F106/K106*100)</f>
        <v>0</v>
      </c>
    </row>
    <row r="107" spans="1:13" s="10" customFormat="1" ht="42" customHeight="1">
      <c r="A107" s="9">
        <v>31030000</v>
      </c>
      <c r="B107" s="17" t="s">
        <v>257</v>
      </c>
      <c r="C107" s="98"/>
      <c r="D107" s="99">
        <v>32900</v>
      </c>
      <c r="E107" s="99">
        <v>32900</v>
      </c>
      <c r="F107" s="99">
        <v>43100</v>
      </c>
      <c r="G107" s="7">
        <f>IF(E107=0,0,F107/E107%)</f>
        <v>131.0030395136778</v>
      </c>
      <c r="H107" s="7">
        <f>IF(D107=0,0,F107/D107%)</f>
        <v>131.0030395136778</v>
      </c>
      <c r="I107" s="8">
        <f>F107-E107</f>
        <v>10200</v>
      </c>
      <c r="J107" s="8">
        <f>F107-D107</f>
        <v>10200</v>
      </c>
      <c r="K107" s="107"/>
      <c r="L107" s="87">
        <f aca="true" t="shared" si="21" ref="L107:L114">F107-K107</f>
        <v>43100</v>
      </c>
      <c r="M107" s="89">
        <f aca="true" t="shared" si="22" ref="M107:M114">IF(K107=0,0,F107/K107*100)</f>
        <v>0</v>
      </c>
    </row>
    <row r="108" spans="1:13" s="32" customFormat="1" ht="29.25" customHeight="1">
      <c r="A108" s="15">
        <v>33010000</v>
      </c>
      <c r="B108" s="19" t="s">
        <v>260</v>
      </c>
      <c r="C108" s="97">
        <f>SUM(C109)</f>
        <v>0</v>
      </c>
      <c r="D108" s="97">
        <f>SUM(D109)</f>
        <v>421530</v>
      </c>
      <c r="E108" s="97">
        <f>SUM(E109)</f>
        <v>421530</v>
      </c>
      <c r="F108" s="97">
        <f>SUM(F109)</f>
        <v>444300</v>
      </c>
      <c r="G108" s="7">
        <f>IF(E108=0,0,F108/E108%)</f>
        <v>105.40175076507009</v>
      </c>
      <c r="H108" s="7">
        <f>IF(D108=0,0,F108/D108%)</f>
        <v>105.40175076507009</v>
      </c>
      <c r="I108" s="8">
        <f>F108-E108</f>
        <v>22770</v>
      </c>
      <c r="J108" s="8">
        <f>F108-D108</f>
        <v>22770</v>
      </c>
      <c r="K108" s="90">
        <f>SUM(K109)</f>
        <v>0</v>
      </c>
      <c r="L108" s="87">
        <f t="shared" si="21"/>
        <v>444300</v>
      </c>
      <c r="M108" s="89">
        <f t="shared" si="22"/>
        <v>0</v>
      </c>
    </row>
    <row r="109" spans="1:13" s="10" customFormat="1" ht="78" customHeight="1">
      <c r="A109" s="9">
        <v>33010100</v>
      </c>
      <c r="B109" s="17" t="s">
        <v>190</v>
      </c>
      <c r="C109" s="98"/>
      <c r="D109" s="99">
        <v>421530</v>
      </c>
      <c r="E109" s="99">
        <v>421530</v>
      </c>
      <c r="F109" s="99">
        <v>444300</v>
      </c>
      <c r="G109" s="7">
        <f>IF(E109=0,0,F109/E109%)</f>
        <v>105.40175076507009</v>
      </c>
      <c r="H109" s="7">
        <f>IF(D109=0,0,F109/D109%)</f>
        <v>105.40175076507009</v>
      </c>
      <c r="I109" s="8">
        <f>F109-E109</f>
        <v>22770</v>
      </c>
      <c r="J109" s="8">
        <f>F109-D109</f>
        <v>22770</v>
      </c>
      <c r="K109" s="78"/>
      <c r="L109" s="87">
        <f t="shared" si="21"/>
        <v>444300</v>
      </c>
      <c r="M109" s="89">
        <f t="shared" si="22"/>
        <v>0</v>
      </c>
    </row>
    <row r="110" spans="1:13" s="10" customFormat="1" ht="39" customHeight="1">
      <c r="A110" s="9">
        <v>41051100</v>
      </c>
      <c r="B110" s="74" t="s">
        <v>109</v>
      </c>
      <c r="C110" s="98">
        <v>0</v>
      </c>
      <c r="D110" s="99">
        <v>57589</v>
      </c>
      <c r="E110" s="99">
        <v>57589</v>
      </c>
      <c r="F110" s="99"/>
      <c r="G110" s="7">
        <f t="shared" si="5"/>
        <v>0</v>
      </c>
      <c r="H110" s="7">
        <f t="shared" si="16"/>
        <v>0</v>
      </c>
      <c r="I110" s="8">
        <f t="shared" si="17"/>
        <v>-57589</v>
      </c>
      <c r="J110" s="8">
        <f aca="true" t="shared" si="23" ref="J110:J147">F110-D110</f>
        <v>-57589</v>
      </c>
      <c r="K110" s="128">
        <v>269750</v>
      </c>
      <c r="L110" s="87">
        <f t="shared" si="21"/>
        <v>-269750</v>
      </c>
      <c r="M110" s="89">
        <f t="shared" si="22"/>
        <v>0</v>
      </c>
    </row>
    <row r="111" spans="1:13" s="10" customFormat="1" ht="93" customHeight="1">
      <c r="A111" s="9">
        <v>41052600</v>
      </c>
      <c r="B111" s="74" t="s">
        <v>198</v>
      </c>
      <c r="C111" s="98"/>
      <c r="D111" s="99">
        <v>796783</v>
      </c>
      <c r="E111" s="99">
        <v>320521</v>
      </c>
      <c r="F111" s="99">
        <v>320521</v>
      </c>
      <c r="G111" s="7">
        <f>IF(E111=0,0,F111/E111%)</f>
        <v>100</v>
      </c>
      <c r="H111" s="7">
        <f>IF(D111=0,0,F111/D111%)</f>
        <v>40.22688737083999</v>
      </c>
      <c r="I111" s="8">
        <f>F111-E111</f>
        <v>0</v>
      </c>
      <c r="J111" s="8">
        <f>F111-D111</f>
        <v>-476262</v>
      </c>
      <c r="K111" s="78"/>
      <c r="L111" s="87">
        <f t="shared" si="21"/>
        <v>320521</v>
      </c>
      <c r="M111" s="89">
        <f t="shared" si="22"/>
        <v>0</v>
      </c>
    </row>
    <row r="112" spans="1:13" s="10" customFormat="1" ht="24" customHeight="1" hidden="1">
      <c r="A112" s="34">
        <v>41053400</v>
      </c>
      <c r="B112" s="35" t="s">
        <v>112</v>
      </c>
      <c r="C112" s="98"/>
      <c r="D112" s="99">
        <v>0</v>
      </c>
      <c r="E112" s="99">
        <v>0</v>
      </c>
      <c r="F112" s="99">
        <v>0</v>
      </c>
      <c r="G112" s="7">
        <f aca="true" t="shared" si="24" ref="G112:G119">IF(E112=0,0,F112/E112%)</f>
        <v>0</v>
      </c>
      <c r="H112" s="7">
        <f aca="true" t="shared" si="25" ref="H112:H119">IF(D112=0,0,F112/D112%)</f>
        <v>0</v>
      </c>
      <c r="I112" s="8">
        <f t="shared" si="17"/>
        <v>0</v>
      </c>
      <c r="J112" s="8">
        <f t="shared" si="23"/>
        <v>0</v>
      </c>
      <c r="K112" s="78"/>
      <c r="L112" s="87">
        <f t="shared" si="21"/>
        <v>0</v>
      </c>
      <c r="M112" s="89">
        <f t="shared" si="22"/>
        <v>0</v>
      </c>
    </row>
    <row r="113" spans="1:13" s="10" customFormat="1" ht="35.25" customHeight="1" hidden="1">
      <c r="A113" s="64">
        <v>41053700</v>
      </c>
      <c r="B113" s="65" t="s">
        <v>215</v>
      </c>
      <c r="C113" s="99">
        <v>0</v>
      </c>
      <c r="D113" s="99">
        <v>0</v>
      </c>
      <c r="E113" s="99"/>
      <c r="F113" s="99"/>
      <c r="G113" s="7">
        <f>IF(E113=0,0,F113/E113%)</f>
        <v>0</v>
      </c>
      <c r="H113" s="7">
        <f>IF(D113=0,0,F113/D113%)</f>
        <v>0</v>
      </c>
      <c r="I113" s="8">
        <f>F113-E113</f>
        <v>0</v>
      </c>
      <c r="J113" s="8">
        <f>F113-D113</f>
        <v>0</v>
      </c>
      <c r="K113" s="78"/>
      <c r="L113" s="87">
        <f t="shared" si="21"/>
        <v>0</v>
      </c>
      <c r="M113" s="89">
        <f t="shared" si="22"/>
        <v>0</v>
      </c>
    </row>
    <row r="114" spans="1:13" s="10" customFormat="1" ht="24" customHeight="1">
      <c r="A114" s="9">
        <v>41053900</v>
      </c>
      <c r="B114" s="18" t="s">
        <v>113</v>
      </c>
      <c r="C114" s="98"/>
      <c r="D114" s="99">
        <v>924794</v>
      </c>
      <c r="E114" s="99">
        <v>924794</v>
      </c>
      <c r="F114" s="99">
        <v>922442</v>
      </c>
      <c r="G114" s="7">
        <f t="shared" si="24"/>
        <v>99.7456730904396</v>
      </c>
      <c r="H114" s="7">
        <f t="shared" si="25"/>
        <v>99.7456730904396</v>
      </c>
      <c r="I114" s="8">
        <f t="shared" si="17"/>
        <v>-2352</v>
      </c>
      <c r="J114" s="8">
        <f t="shared" si="23"/>
        <v>-2352</v>
      </c>
      <c r="K114" s="128">
        <v>4184471</v>
      </c>
      <c r="L114" s="87">
        <f t="shared" si="21"/>
        <v>-3262029</v>
      </c>
      <c r="M114" s="89">
        <f t="shared" si="22"/>
        <v>22.044411348531273</v>
      </c>
    </row>
    <row r="115" spans="1:13" s="10" customFormat="1" ht="72.75" customHeight="1">
      <c r="A115" s="64">
        <v>41054000</v>
      </c>
      <c r="B115" s="65" t="s">
        <v>216</v>
      </c>
      <c r="C115" s="99">
        <v>0</v>
      </c>
      <c r="D115" s="99">
        <v>0</v>
      </c>
      <c r="E115" s="99"/>
      <c r="F115" s="99"/>
      <c r="G115" s="7">
        <f>IF(E115=0,0,F115/E115%)</f>
        <v>0</v>
      </c>
      <c r="H115" s="7">
        <f>IF(D115=0,0,F115/D115%)</f>
        <v>0</v>
      </c>
      <c r="I115" s="8">
        <f>F115-E115</f>
        <v>0</v>
      </c>
      <c r="J115" s="8">
        <f>F115-D115</f>
        <v>0</v>
      </c>
      <c r="K115" s="128">
        <v>4008331</v>
      </c>
      <c r="L115" s="87">
        <f>IF(K115=0,0,F115-K115)</f>
        <v>-4008331</v>
      </c>
      <c r="M115" s="89">
        <f>IF(K115=0,0,F115/K115*100)</f>
        <v>0</v>
      </c>
    </row>
    <row r="116" spans="1:13" s="10" customFormat="1" ht="117.75" customHeight="1" hidden="1">
      <c r="A116" s="9">
        <v>41054100</v>
      </c>
      <c r="B116" s="31" t="s">
        <v>114</v>
      </c>
      <c r="C116" s="98"/>
      <c r="D116" s="99">
        <v>0</v>
      </c>
      <c r="E116" s="99"/>
      <c r="F116" s="99"/>
      <c r="G116" s="7">
        <f t="shared" si="24"/>
        <v>0</v>
      </c>
      <c r="H116" s="7">
        <f t="shared" si="25"/>
        <v>0</v>
      </c>
      <c r="I116" s="8">
        <f t="shared" si="17"/>
        <v>0</v>
      </c>
      <c r="J116" s="8">
        <f t="shared" si="23"/>
        <v>0</v>
      </c>
      <c r="K116" s="78"/>
      <c r="L116" s="87">
        <f t="shared" si="19"/>
        <v>0</v>
      </c>
      <c r="M116" s="89">
        <f t="shared" si="20"/>
        <v>0</v>
      </c>
    </row>
    <row r="117" spans="1:13" s="32" customFormat="1" ht="27" customHeight="1">
      <c r="A117" s="15">
        <v>50000000</v>
      </c>
      <c r="B117" s="36" t="s">
        <v>115</v>
      </c>
      <c r="C117" s="97">
        <f>C118</f>
        <v>18000</v>
      </c>
      <c r="D117" s="97">
        <f>D118</f>
        <v>18000</v>
      </c>
      <c r="E117" s="97">
        <f>E118</f>
        <v>18000</v>
      </c>
      <c r="F117" s="97">
        <f>F118</f>
        <v>24813.1</v>
      </c>
      <c r="G117" s="46">
        <f t="shared" si="24"/>
        <v>137.85055555555556</v>
      </c>
      <c r="H117" s="46">
        <f t="shared" si="25"/>
        <v>137.85055555555556</v>
      </c>
      <c r="I117" s="30">
        <f t="shared" si="17"/>
        <v>6813.0999999999985</v>
      </c>
      <c r="J117" s="30">
        <f t="shared" si="23"/>
        <v>6813.0999999999985</v>
      </c>
      <c r="K117" s="90">
        <f>SUM(K118)</f>
        <v>17367.37</v>
      </c>
      <c r="L117" s="77">
        <f t="shared" si="19"/>
        <v>7445.73</v>
      </c>
      <c r="M117" s="88">
        <f t="shared" si="20"/>
        <v>142.8719489479409</v>
      </c>
    </row>
    <row r="118" spans="1:13" s="10" customFormat="1" ht="58.5" customHeight="1">
      <c r="A118" s="9">
        <v>50110000</v>
      </c>
      <c r="B118" s="31" t="s">
        <v>116</v>
      </c>
      <c r="C118" s="98">
        <v>18000</v>
      </c>
      <c r="D118" s="99">
        <v>18000</v>
      </c>
      <c r="E118" s="99">
        <v>18000</v>
      </c>
      <c r="F118" s="99">
        <v>24813.1</v>
      </c>
      <c r="G118" s="7">
        <f t="shared" si="24"/>
        <v>137.85055555555556</v>
      </c>
      <c r="H118" s="7">
        <f t="shared" si="25"/>
        <v>137.85055555555556</v>
      </c>
      <c r="I118" s="8">
        <f t="shared" si="17"/>
        <v>6813.0999999999985</v>
      </c>
      <c r="J118" s="8">
        <f t="shared" si="23"/>
        <v>6813.0999999999985</v>
      </c>
      <c r="K118" s="128">
        <v>17367.37</v>
      </c>
      <c r="L118" s="87">
        <f t="shared" si="19"/>
        <v>7445.73</v>
      </c>
      <c r="M118" s="89">
        <f t="shared" si="20"/>
        <v>142.8719489479409</v>
      </c>
    </row>
    <row r="119" spans="1:13" s="32" customFormat="1" ht="36.75" customHeight="1">
      <c r="A119" s="15"/>
      <c r="B119" s="36" t="s">
        <v>232</v>
      </c>
      <c r="C119" s="97">
        <f>SUM(C91,C96,C98,C108,C117,C106)</f>
        <v>434127</v>
      </c>
      <c r="D119" s="97">
        <f>SUM(D91,D96,D98,D108,D117,D106)</f>
        <v>888557</v>
      </c>
      <c r="E119" s="97">
        <f>SUM(E91,E96,E98,E108,E117,E106)</f>
        <v>859713</v>
      </c>
      <c r="F119" s="97">
        <f>SUM(F91,F96,F98,F108,F117,F106)</f>
        <v>1354987.1300000001</v>
      </c>
      <c r="G119" s="46">
        <f t="shared" si="24"/>
        <v>157.6092405256173</v>
      </c>
      <c r="H119" s="46">
        <f t="shared" si="25"/>
        <v>152.49298919484065</v>
      </c>
      <c r="I119" s="30">
        <f>F119-E119</f>
        <v>495274.1300000001</v>
      </c>
      <c r="J119" s="30">
        <f>F119-D119</f>
        <v>466430.1300000001</v>
      </c>
      <c r="K119" s="90">
        <f>SUM(K91,K96,K98,K108,K117,K106)</f>
        <v>441569.94000000006</v>
      </c>
      <c r="L119" s="77">
        <f>IF(K119=0,0,F119-K119)</f>
        <v>913417.1900000001</v>
      </c>
      <c r="M119" s="88">
        <f>IF(K119=0,0,F119/K119*100)</f>
        <v>306.85674165229636</v>
      </c>
    </row>
    <row r="120" spans="1:13" s="32" customFormat="1" ht="21" customHeight="1">
      <c r="A120" s="33"/>
      <c r="B120" s="13" t="s">
        <v>18</v>
      </c>
      <c r="C120" s="59">
        <f>SUM(C91,C96,C98,C108,C117,C110,C112,C114,C116,C111,C113,C115,C106)</f>
        <v>434127</v>
      </c>
      <c r="D120" s="59">
        <f>SUM(D91,D96,D98,D108,D117,D110,D112,D114,D116,D111,D113,D115,D106)</f>
        <v>2667723</v>
      </c>
      <c r="E120" s="59">
        <f>SUM(E91,E96,E98,E108,E117,E110,E112,E114,E116,E111,E113,E115,E106)</f>
        <v>2162617</v>
      </c>
      <c r="F120" s="59">
        <f>SUM(F91,F96,F98,F108,F117,F110,F112,F114,F116,F111,F113,F115,F106)</f>
        <v>2597950.13</v>
      </c>
      <c r="G120" s="46">
        <f t="shared" si="5"/>
        <v>120.12992268163988</v>
      </c>
      <c r="H120" s="46">
        <f t="shared" si="16"/>
        <v>97.38455341877699</v>
      </c>
      <c r="I120" s="30">
        <f aca="true" t="shared" si="26" ref="I120:I174">F120-E120</f>
        <v>435333.1299999999</v>
      </c>
      <c r="J120" s="30">
        <f t="shared" si="23"/>
        <v>-69772.87000000011</v>
      </c>
      <c r="K120" s="90">
        <f>SUM(K110:K116)+K119</f>
        <v>8904121.94</v>
      </c>
      <c r="L120" s="77">
        <f t="shared" si="19"/>
        <v>-6306171.81</v>
      </c>
      <c r="M120" s="88">
        <f t="shared" si="20"/>
        <v>29.17693791152191</v>
      </c>
    </row>
    <row r="121" spans="1:13" s="32" customFormat="1" ht="18" customHeight="1">
      <c r="A121" s="33"/>
      <c r="B121" s="13" t="s">
        <v>17</v>
      </c>
      <c r="C121" s="59">
        <f>C89+C120</f>
        <v>71521877</v>
      </c>
      <c r="D121" s="59">
        <f>D89+D120</f>
        <v>76307791</v>
      </c>
      <c r="E121" s="59">
        <f>E89+E120</f>
        <v>68309753</v>
      </c>
      <c r="F121" s="59">
        <f>F89+F120</f>
        <v>70841549.97</v>
      </c>
      <c r="G121" s="46">
        <f t="shared" si="5"/>
        <v>103.70634771582324</v>
      </c>
      <c r="H121" s="46">
        <f t="shared" si="16"/>
        <v>92.83658856013797</v>
      </c>
      <c r="I121" s="30">
        <f t="shared" si="26"/>
        <v>2531796.969999999</v>
      </c>
      <c r="J121" s="30">
        <f t="shared" si="23"/>
        <v>-5466241.030000001</v>
      </c>
      <c r="K121" s="108">
        <f>K89+K120</f>
        <v>77462716.03999999</v>
      </c>
      <c r="L121" s="77">
        <f t="shared" si="19"/>
        <v>-6621166.069999993</v>
      </c>
      <c r="M121" s="88">
        <f t="shared" si="20"/>
        <v>91.45244782460122</v>
      </c>
    </row>
    <row r="122" spans="1:13" s="27" customFormat="1" ht="21.75" customHeight="1">
      <c r="A122" s="82"/>
      <c r="B122" s="13" t="s">
        <v>5</v>
      </c>
      <c r="C122" s="98"/>
      <c r="D122" s="98"/>
      <c r="E122" s="98"/>
      <c r="F122" s="98"/>
      <c r="G122" s="83">
        <f t="shared" si="5"/>
        <v>0</v>
      </c>
      <c r="H122" s="83">
        <f t="shared" si="16"/>
        <v>0</v>
      </c>
      <c r="I122" s="84">
        <f t="shared" si="26"/>
        <v>0</v>
      </c>
      <c r="J122" s="84">
        <f t="shared" si="23"/>
        <v>0</v>
      </c>
      <c r="K122" s="109"/>
      <c r="L122" s="85">
        <f t="shared" si="19"/>
        <v>0</v>
      </c>
      <c r="M122" s="86">
        <f t="shared" si="20"/>
        <v>0</v>
      </c>
    </row>
    <row r="123" spans="1:13" s="10" customFormat="1" ht="19.5" customHeight="1">
      <c r="A123" s="12"/>
      <c r="B123" s="14" t="s">
        <v>2</v>
      </c>
      <c r="C123" s="98"/>
      <c r="D123" s="98"/>
      <c r="E123" s="98"/>
      <c r="F123" s="98"/>
      <c r="G123" s="7">
        <f t="shared" si="5"/>
        <v>0</v>
      </c>
      <c r="H123" s="7">
        <f t="shared" si="16"/>
        <v>0</v>
      </c>
      <c r="I123" s="8">
        <f t="shared" si="26"/>
        <v>0</v>
      </c>
      <c r="J123" s="8">
        <f t="shared" si="23"/>
        <v>0</v>
      </c>
      <c r="K123" s="110"/>
      <c r="L123" s="55">
        <f t="shared" si="19"/>
        <v>0</v>
      </c>
      <c r="M123" s="58">
        <f t="shared" si="20"/>
        <v>0</v>
      </c>
    </row>
    <row r="124" spans="1:13" s="32" customFormat="1" ht="18" customHeight="1">
      <c r="A124" s="37" t="s">
        <v>64</v>
      </c>
      <c r="B124" s="16" t="s">
        <v>6</v>
      </c>
      <c r="C124" s="97">
        <f>C125+C126</f>
        <v>16000000</v>
      </c>
      <c r="D124" s="97">
        <f>D125+D126</f>
        <v>15920286</v>
      </c>
      <c r="E124" s="97">
        <f>E125+E126</f>
        <v>14368751</v>
      </c>
      <c r="F124" s="97">
        <f>F125+F126</f>
        <v>13824480.61</v>
      </c>
      <c r="G124" s="46">
        <f t="shared" si="5"/>
        <v>96.21212456113965</v>
      </c>
      <c r="H124" s="46">
        <f t="shared" si="16"/>
        <v>86.83562977449023</v>
      </c>
      <c r="I124" s="30">
        <f t="shared" si="26"/>
        <v>-544270.3900000006</v>
      </c>
      <c r="J124" s="30">
        <f t="shared" si="23"/>
        <v>-2095805.3900000006</v>
      </c>
      <c r="K124" s="118">
        <f>K125+K126</f>
        <v>12740433.47</v>
      </c>
      <c r="L124" s="119">
        <f t="shared" si="19"/>
        <v>1084047.1399999987</v>
      </c>
      <c r="M124" s="120">
        <f t="shared" si="20"/>
        <v>108.50871473527657</v>
      </c>
    </row>
    <row r="125" spans="1:13" s="10" customFormat="1" ht="65.25" customHeight="1">
      <c r="A125" s="38" t="s">
        <v>121</v>
      </c>
      <c r="B125" s="17" t="s">
        <v>122</v>
      </c>
      <c r="C125" s="98">
        <v>16000000</v>
      </c>
      <c r="D125" s="98">
        <v>15379100</v>
      </c>
      <c r="E125" s="98">
        <v>13827565</v>
      </c>
      <c r="F125" s="98">
        <v>13374427.07</v>
      </c>
      <c r="G125" s="7">
        <f t="shared" si="5"/>
        <v>96.72293762495421</v>
      </c>
      <c r="H125" s="7">
        <f t="shared" si="16"/>
        <v>86.96495289061129</v>
      </c>
      <c r="I125" s="8">
        <f t="shared" si="26"/>
        <v>-453137.9299999997</v>
      </c>
      <c r="J125" s="8">
        <f t="shared" si="23"/>
        <v>-2004672.9299999997</v>
      </c>
      <c r="K125" s="127">
        <v>12740433.47</v>
      </c>
      <c r="L125" s="55">
        <f t="shared" si="19"/>
        <v>633993.5999999996</v>
      </c>
      <c r="M125" s="58">
        <f t="shared" si="20"/>
        <v>104.97623257083733</v>
      </c>
    </row>
    <row r="126" spans="1:13" s="10" customFormat="1" ht="20.25" customHeight="1">
      <c r="A126" s="38" t="s">
        <v>263</v>
      </c>
      <c r="B126" s="17" t="s">
        <v>264</v>
      </c>
      <c r="C126" s="98"/>
      <c r="D126" s="98">
        <v>541186</v>
      </c>
      <c r="E126" s="98">
        <v>541186</v>
      </c>
      <c r="F126" s="98">
        <v>450053.54</v>
      </c>
      <c r="G126" s="7">
        <f t="shared" si="5"/>
        <v>83.16060282416767</v>
      </c>
      <c r="H126" s="7">
        <f t="shared" si="16"/>
        <v>83.16060282416767</v>
      </c>
      <c r="I126" s="8">
        <f t="shared" si="26"/>
        <v>-91132.46000000002</v>
      </c>
      <c r="J126" s="8">
        <f t="shared" si="23"/>
        <v>-91132.46000000002</v>
      </c>
      <c r="K126" s="110"/>
      <c r="L126" s="55">
        <f t="shared" si="19"/>
        <v>0</v>
      </c>
      <c r="M126" s="58">
        <f t="shared" si="20"/>
        <v>0</v>
      </c>
    </row>
    <row r="127" spans="1:13" s="32" customFormat="1" ht="18.75" customHeight="1">
      <c r="A127" s="37" t="s">
        <v>65</v>
      </c>
      <c r="B127" s="16" t="s">
        <v>7</v>
      </c>
      <c r="C127" s="97">
        <f>C129+C130+C131+C132+C133+C134+C128+C135</f>
        <v>34249792</v>
      </c>
      <c r="D127" s="97">
        <f>D129+D130+D131+D132+D133+D134+D128+D135</f>
        <v>35420617</v>
      </c>
      <c r="E127" s="97">
        <f>E129+E130+E131+E132+E133+E134+E128+E135</f>
        <v>31736211</v>
      </c>
      <c r="F127" s="97">
        <f>F129+F130+F131+F132+F133+F134+F128+F135</f>
        <v>25560326.42</v>
      </c>
      <c r="G127" s="46">
        <f t="shared" si="5"/>
        <v>80.5399435364228</v>
      </c>
      <c r="H127" s="46">
        <f t="shared" si="16"/>
        <v>72.16228452485738</v>
      </c>
      <c r="I127" s="30">
        <f t="shared" si="26"/>
        <v>-6175884.579999998</v>
      </c>
      <c r="J127" s="30">
        <f t="shared" si="23"/>
        <v>-9860290.579999998</v>
      </c>
      <c r="K127" s="118">
        <f>K128+K129+K130+K131+K132+K133+K134+K135</f>
        <v>24044224.23</v>
      </c>
      <c r="L127" s="119">
        <f t="shared" si="19"/>
        <v>1516102.1900000013</v>
      </c>
      <c r="M127" s="120">
        <f t="shared" si="20"/>
        <v>106.30547351204768</v>
      </c>
    </row>
    <row r="128" spans="1:13" s="10" customFormat="1" ht="18.75" customHeight="1">
      <c r="A128" s="38" t="s">
        <v>123</v>
      </c>
      <c r="B128" s="18" t="s">
        <v>124</v>
      </c>
      <c r="C128" s="98">
        <v>1392750</v>
      </c>
      <c r="D128" s="123">
        <v>1338857</v>
      </c>
      <c r="E128" s="113">
        <v>1156527</v>
      </c>
      <c r="F128" s="123">
        <v>1071734.46</v>
      </c>
      <c r="G128" s="7">
        <f t="shared" si="5"/>
        <v>92.66834756127612</v>
      </c>
      <c r="H128" s="7">
        <f t="shared" si="16"/>
        <v>80.0484637268954</v>
      </c>
      <c r="I128" s="8">
        <f t="shared" si="26"/>
        <v>-84792.54000000004</v>
      </c>
      <c r="J128" s="8">
        <f t="shared" si="23"/>
        <v>-267122.54000000004</v>
      </c>
      <c r="K128" s="127">
        <v>1128061.37</v>
      </c>
      <c r="L128" s="55">
        <f t="shared" si="19"/>
        <v>-56326.91000000015</v>
      </c>
      <c r="M128" s="58">
        <f t="shared" si="20"/>
        <v>95.00675127276097</v>
      </c>
    </row>
    <row r="129" spans="1:13" s="10" customFormat="1" ht="65.25" customHeight="1">
      <c r="A129" s="92" t="s">
        <v>66</v>
      </c>
      <c r="B129" s="93" t="s">
        <v>251</v>
      </c>
      <c r="C129" s="98">
        <v>29174215</v>
      </c>
      <c r="D129" s="123">
        <v>30212634</v>
      </c>
      <c r="E129" s="113">
        <v>27114356</v>
      </c>
      <c r="F129" s="123">
        <v>21389025.87</v>
      </c>
      <c r="G129" s="7">
        <f t="shared" si="5"/>
        <v>78.88450631097416</v>
      </c>
      <c r="H129" s="7">
        <f t="shared" si="16"/>
        <v>70.79497229536491</v>
      </c>
      <c r="I129" s="8">
        <f t="shared" si="26"/>
        <v>-5725330.129999999</v>
      </c>
      <c r="J129" s="8">
        <f t="shared" si="23"/>
        <v>-8823608.129999999</v>
      </c>
      <c r="K129" s="127">
        <v>19943739.02</v>
      </c>
      <c r="L129" s="55">
        <f t="shared" si="19"/>
        <v>1445286.8500000015</v>
      </c>
      <c r="M129" s="58">
        <f t="shared" si="20"/>
        <v>107.2468199094996</v>
      </c>
    </row>
    <row r="130" spans="1:13" s="10" customFormat="1" ht="49.5" customHeight="1">
      <c r="A130" s="38" t="s">
        <v>67</v>
      </c>
      <c r="B130" s="39" t="s">
        <v>63</v>
      </c>
      <c r="C130" s="98">
        <v>270200</v>
      </c>
      <c r="D130" s="123">
        <v>270600</v>
      </c>
      <c r="E130" s="113">
        <v>235855</v>
      </c>
      <c r="F130" s="123">
        <v>232481.32</v>
      </c>
      <c r="G130" s="7">
        <f t="shared" si="5"/>
        <v>98.5695957261877</v>
      </c>
      <c r="H130" s="7">
        <f aca="true" t="shared" si="27" ref="H130:H147">IF(D130=0,0,F130/D130%)</f>
        <v>85.91327420546934</v>
      </c>
      <c r="I130" s="8">
        <f t="shared" si="26"/>
        <v>-3373.679999999993</v>
      </c>
      <c r="J130" s="8">
        <f t="shared" si="23"/>
        <v>-38118.67999999999</v>
      </c>
      <c r="K130" s="127">
        <v>229423.7</v>
      </c>
      <c r="L130" s="55">
        <f t="shared" si="19"/>
        <v>3057.6199999999953</v>
      </c>
      <c r="M130" s="58">
        <f t="shared" si="20"/>
        <v>101.33273938132807</v>
      </c>
    </row>
    <row r="131" spans="1:13" s="10" customFormat="1" ht="55.5" customHeight="1">
      <c r="A131" s="38" t="s">
        <v>125</v>
      </c>
      <c r="B131" s="39" t="s">
        <v>250</v>
      </c>
      <c r="C131" s="98">
        <v>646000</v>
      </c>
      <c r="D131" s="123">
        <v>646000</v>
      </c>
      <c r="E131" s="113">
        <v>551076</v>
      </c>
      <c r="F131" s="123">
        <v>527477.18</v>
      </c>
      <c r="G131" s="7">
        <f t="shared" si="5"/>
        <v>95.71768322336665</v>
      </c>
      <c r="H131" s="7">
        <f t="shared" si="27"/>
        <v>81.65281424148607</v>
      </c>
      <c r="I131" s="8">
        <f t="shared" si="26"/>
        <v>-23598.81999999995</v>
      </c>
      <c r="J131" s="8">
        <f t="shared" si="23"/>
        <v>-118522.81999999995</v>
      </c>
      <c r="K131" s="127">
        <v>507654.66</v>
      </c>
      <c r="L131" s="55">
        <f t="shared" si="19"/>
        <v>19822.520000000077</v>
      </c>
      <c r="M131" s="58">
        <f t="shared" si="20"/>
        <v>103.90472531070631</v>
      </c>
    </row>
    <row r="132" spans="1:13" s="10" customFormat="1" ht="21" customHeight="1">
      <c r="A132" s="38" t="s">
        <v>127</v>
      </c>
      <c r="B132" s="39" t="s">
        <v>252</v>
      </c>
      <c r="C132" s="98">
        <v>513300</v>
      </c>
      <c r="D132" s="123">
        <v>514100</v>
      </c>
      <c r="E132" s="113">
        <v>449930</v>
      </c>
      <c r="F132" s="123">
        <v>436766.78</v>
      </c>
      <c r="G132" s="7">
        <f t="shared" si="5"/>
        <v>97.07438490431845</v>
      </c>
      <c r="H132" s="7">
        <f t="shared" si="27"/>
        <v>84.9575530052519</v>
      </c>
      <c r="I132" s="8">
        <f t="shared" si="26"/>
        <v>-13163.219999999972</v>
      </c>
      <c r="J132" s="8">
        <f t="shared" si="23"/>
        <v>-77333.21999999997</v>
      </c>
      <c r="K132" s="127">
        <v>399989.85</v>
      </c>
      <c r="L132" s="55">
        <f t="shared" si="19"/>
        <v>36776.93000000005</v>
      </c>
      <c r="M132" s="58">
        <f t="shared" si="20"/>
        <v>109.19446580956993</v>
      </c>
    </row>
    <row r="133" spans="1:13" s="10" customFormat="1" ht="18.75" customHeight="1">
      <c r="A133" s="38" t="s">
        <v>128</v>
      </c>
      <c r="B133" s="76" t="s">
        <v>129</v>
      </c>
      <c r="C133" s="98">
        <v>2117200</v>
      </c>
      <c r="D133" s="123">
        <v>1969234</v>
      </c>
      <c r="E133" s="113">
        <v>1769704</v>
      </c>
      <c r="F133" s="123">
        <v>1591710.57</v>
      </c>
      <c r="G133" s="7">
        <f t="shared" si="5"/>
        <v>89.94219202759331</v>
      </c>
      <c r="H133" s="7">
        <f t="shared" si="27"/>
        <v>80.828919772866</v>
      </c>
      <c r="I133" s="8">
        <f t="shared" si="26"/>
        <v>-177993.42999999993</v>
      </c>
      <c r="J133" s="8">
        <f t="shared" si="23"/>
        <v>-377523.42999999993</v>
      </c>
      <c r="K133" s="127">
        <v>1612527.5</v>
      </c>
      <c r="L133" s="55">
        <f t="shared" si="19"/>
        <v>-20816.929999999935</v>
      </c>
      <c r="M133" s="58">
        <f t="shared" si="20"/>
        <v>98.70904961310738</v>
      </c>
    </row>
    <row r="134" spans="1:13" s="10" customFormat="1" ht="18.75" customHeight="1">
      <c r="A134" s="38" t="s">
        <v>130</v>
      </c>
      <c r="B134" s="39" t="s">
        <v>131</v>
      </c>
      <c r="C134" s="98">
        <v>3620</v>
      </c>
      <c r="D134" s="123">
        <v>3620</v>
      </c>
      <c r="E134" s="113">
        <v>3620</v>
      </c>
      <c r="F134" s="123">
        <v>3620</v>
      </c>
      <c r="G134" s="7">
        <f t="shared" si="5"/>
        <v>99.99999999999999</v>
      </c>
      <c r="H134" s="7">
        <f t="shared" si="27"/>
        <v>99.99999999999999</v>
      </c>
      <c r="I134" s="8">
        <f>F134-E134</f>
        <v>0</v>
      </c>
      <c r="J134" s="8">
        <f t="shared" si="23"/>
        <v>0</v>
      </c>
      <c r="K134" s="127">
        <v>5430</v>
      </c>
      <c r="L134" s="55">
        <f t="shared" si="19"/>
        <v>-1810</v>
      </c>
      <c r="M134" s="58">
        <f t="shared" si="20"/>
        <v>66.66666666666666</v>
      </c>
    </row>
    <row r="135" spans="1:13" s="10" customFormat="1" ht="18.75" customHeight="1">
      <c r="A135" s="38" t="s">
        <v>226</v>
      </c>
      <c r="B135" s="39" t="s">
        <v>227</v>
      </c>
      <c r="C135" s="98">
        <v>132507</v>
      </c>
      <c r="D135" s="123">
        <v>465572</v>
      </c>
      <c r="E135" s="113">
        <v>455143</v>
      </c>
      <c r="F135" s="123">
        <v>307510.24</v>
      </c>
      <c r="G135" s="7">
        <f t="shared" si="5"/>
        <v>67.56343390978219</v>
      </c>
      <c r="H135" s="7">
        <f t="shared" si="27"/>
        <v>66.04998582388974</v>
      </c>
      <c r="I135" s="8">
        <f>F135-E135</f>
        <v>-147632.76</v>
      </c>
      <c r="J135" s="8">
        <f t="shared" si="23"/>
        <v>-158061.76</v>
      </c>
      <c r="K135" s="127">
        <v>217398.13</v>
      </c>
      <c r="L135" s="55">
        <f>F135-K135</f>
        <v>90112.10999999999</v>
      </c>
      <c r="M135" s="58">
        <f t="shared" si="20"/>
        <v>141.4502691444494</v>
      </c>
    </row>
    <row r="136" spans="1:13" s="32" customFormat="1" ht="18.75" customHeight="1">
      <c r="A136" s="37" t="s">
        <v>68</v>
      </c>
      <c r="B136" s="16" t="s">
        <v>8</v>
      </c>
      <c r="C136" s="97">
        <f>C137+C138+C139+C140+C141+C142</f>
        <v>1833400</v>
      </c>
      <c r="D136" s="97">
        <f>D137+D138+D139+D140+D141+D142</f>
        <v>2717449</v>
      </c>
      <c r="E136" s="97">
        <f>E137+E138+E139+E140+E141+E142</f>
        <v>2593869</v>
      </c>
      <c r="F136" s="97">
        <f>F137+F138+F139+F140+F141+F142</f>
        <v>2312195.54</v>
      </c>
      <c r="G136" s="46">
        <f t="shared" si="5"/>
        <v>89.14079855227847</v>
      </c>
      <c r="H136" s="46">
        <f t="shared" si="27"/>
        <v>85.08698930504308</v>
      </c>
      <c r="I136" s="30">
        <f t="shared" si="26"/>
        <v>-281673.45999999996</v>
      </c>
      <c r="J136" s="30">
        <f t="shared" si="23"/>
        <v>-405253.45999999996</v>
      </c>
      <c r="K136" s="118">
        <f>K137+K140+K141+K142</f>
        <v>4479621.859999999</v>
      </c>
      <c r="L136" s="119">
        <f t="shared" si="19"/>
        <v>-2167426.3199999994</v>
      </c>
      <c r="M136" s="120">
        <f t="shared" si="20"/>
        <v>51.61586429083101</v>
      </c>
    </row>
    <row r="137" spans="1:13" s="10" customFormat="1" ht="18.75" customHeight="1">
      <c r="A137" s="38" t="s">
        <v>69</v>
      </c>
      <c r="B137" s="17" t="s">
        <v>70</v>
      </c>
      <c r="C137" s="98">
        <v>1481300</v>
      </c>
      <c r="D137" s="98">
        <v>2050085</v>
      </c>
      <c r="E137" s="98">
        <v>1957285</v>
      </c>
      <c r="F137" s="98">
        <v>1752333.86</v>
      </c>
      <c r="G137" s="7">
        <f t="shared" si="5"/>
        <v>89.52880444084536</v>
      </c>
      <c r="H137" s="7">
        <f t="shared" si="27"/>
        <v>85.47615635449263</v>
      </c>
      <c r="I137" s="8">
        <f t="shared" si="26"/>
        <v>-204951.1399999999</v>
      </c>
      <c r="J137" s="8">
        <f t="shared" si="23"/>
        <v>-297751.1399999999</v>
      </c>
      <c r="K137" s="127">
        <v>3948721.2</v>
      </c>
      <c r="L137" s="55">
        <f t="shared" si="19"/>
        <v>-2196387.34</v>
      </c>
      <c r="M137" s="58">
        <f t="shared" si="20"/>
        <v>44.37724952574519</v>
      </c>
    </row>
    <row r="138" spans="1:13" s="10" customFormat="1" ht="30" customHeight="1" hidden="1">
      <c r="A138" s="38" t="s">
        <v>46</v>
      </c>
      <c r="B138" s="17" t="s">
        <v>48</v>
      </c>
      <c r="C138" s="98"/>
      <c r="D138" s="98"/>
      <c r="E138" s="98"/>
      <c r="F138" s="98"/>
      <c r="G138" s="7">
        <f t="shared" si="5"/>
        <v>0</v>
      </c>
      <c r="H138" s="7">
        <f t="shared" si="27"/>
        <v>0</v>
      </c>
      <c r="I138" s="8">
        <f t="shared" si="26"/>
        <v>0</v>
      </c>
      <c r="J138" s="8">
        <f t="shared" si="23"/>
        <v>0</v>
      </c>
      <c r="K138" s="110"/>
      <c r="L138" s="55">
        <f t="shared" si="19"/>
        <v>0</v>
      </c>
      <c r="M138" s="58">
        <f t="shared" si="20"/>
        <v>0</v>
      </c>
    </row>
    <row r="139" spans="1:13" s="10" customFormat="1" ht="18" customHeight="1" hidden="1">
      <c r="A139" s="38" t="s">
        <v>47</v>
      </c>
      <c r="B139" s="17" t="s">
        <v>49</v>
      </c>
      <c r="C139" s="98"/>
      <c r="D139" s="98"/>
      <c r="E139" s="98"/>
      <c r="F139" s="98"/>
      <c r="G139" s="7">
        <f t="shared" si="5"/>
        <v>0</v>
      </c>
      <c r="H139" s="7">
        <f t="shared" si="27"/>
        <v>0</v>
      </c>
      <c r="I139" s="8">
        <f t="shared" si="26"/>
        <v>0</v>
      </c>
      <c r="J139" s="8">
        <f t="shared" si="23"/>
        <v>0</v>
      </c>
      <c r="K139" s="110"/>
      <c r="L139" s="55">
        <f t="shared" si="19"/>
        <v>0</v>
      </c>
      <c r="M139" s="58">
        <f t="shared" si="20"/>
        <v>0</v>
      </c>
    </row>
    <row r="140" spans="1:13" s="10" customFormat="1" ht="36" customHeight="1">
      <c r="A140" s="38" t="s">
        <v>132</v>
      </c>
      <c r="B140" s="17" t="s">
        <v>133</v>
      </c>
      <c r="C140" s="98">
        <v>318000</v>
      </c>
      <c r="D140" s="98">
        <v>535034</v>
      </c>
      <c r="E140" s="98">
        <v>504254</v>
      </c>
      <c r="F140" s="98">
        <v>429536.57</v>
      </c>
      <c r="G140" s="7">
        <f aca="true" t="shared" si="28" ref="G140:G173">IF(E140=0,0,F140/E140%)</f>
        <v>85.18258060421931</v>
      </c>
      <c r="H140" s="7">
        <f t="shared" si="27"/>
        <v>80.28210730533013</v>
      </c>
      <c r="I140" s="8">
        <f t="shared" si="26"/>
        <v>-74717.43</v>
      </c>
      <c r="J140" s="8">
        <f t="shared" si="23"/>
        <v>-105497.43</v>
      </c>
      <c r="K140" s="127">
        <v>334948.6</v>
      </c>
      <c r="L140" s="55">
        <f t="shared" si="19"/>
        <v>94587.97000000003</v>
      </c>
      <c r="M140" s="58">
        <f t="shared" si="20"/>
        <v>128.23954779927428</v>
      </c>
    </row>
    <row r="141" spans="1:13" s="101" customFormat="1" ht="34.5" customHeight="1">
      <c r="A141" s="92" t="s">
        <v>134</v>
      </c>
      <c r="B141" s="121" t="s">
        <v>135</v>
      </c>
      <c r="C141" s="98">
        <v>34100</v>
      </c>
      <c r="D141" s="123">
        <v>132330</v>
      </c>
      <c r="E141" s="113">
        <v>132330</v>
      </c>
      <c r="F141" s="123">
        <v>130325.11</v>
      </c>
      <c r="G141" s="63">
        <f t="shared" si="28"/>
        <v>98.48493161036802</v>
      </c>
      <c r="H141" s="63">
        <f t="shared" si="27"/>
        <v>98.48493161036802</v>
      </c>
      <c r="I141" s="60">
        <f t="shared" si="26"/>
        <v>-2004.8899999999994</v>
      </c>
      <c r="J141" s="60">
        <f t="shared" si="23"/>
        <v>-2004.8899999999994</v>
      </c>
      <c r="K141" s="127">
        <v>147714</v>
      </c>
      <c r="L141" s="110">
        <f t="shared" si="19"/>
        <v>-17388.89</v>
      </c>
      <c r="M141" s="122">
        <f t="shared" si="20"/>
        <v>88.22800140812652</v>
      </c>
    </row>
    <row r="142" spans="1:13" s="10" customFormat="1" ht="36" customHeight="1">
      <c r="A142" s="38" t="s">
        <v>136</v>
      </c>
      <c r="B142" s="17" t="s">
        <v>137</v>
      </c>
      <c r="C142" s="98"/>
      <c r="D142" s="98"/>
      <c r="E142" s="98"/>
      <c r="F142" s="98"/>
      <c r="G142" s="7">
        <f t="shared" si="28"/>
        <v>0</v>
      </c>
      <c r="H142" s="7">
        <f t="shared" si="27"/>
        <v>0</v>
      </c>
      <c r="I142" s="8">
        <f t="shared" si="26"/>
        <v>0</v>
      </c>
      <c r="J142" s="8">
        <f t="shared" si="23"/>
        <v>0</v>
      </c>
      <c r="K142" s="127">
        <v>48238.06</v>
      </c>
      <c r="L142" s="55">
        <f t="shared" si="19"/>
        <v>-48238.06</v>
      </c>
      <c r="M142" s="58">
        <f t="shared" si="20"/>
        <v>0</v>
      </c>
    </row>
    <row r="143" spans="1:13" s="32" customFormat="1" ht="22.5" customHeight="1">
      <c r="A143" s="37" t="s">
        <v>71</v>
      </c>
      <c r="B143" s="16" t="s">
        <v>9</v>
      </c>
      <c r="C143" s="97">
        <f>C145+C146+C147+C144</f>
        <v>3041388</v>
      </c>
      <c r="D143" s="97">
        <f>D145+D146+D147+D144</f>
        <v>2938688</v>
      </c>
      <c r="E143" s="97">
        <f>E145+E146+E147+E144</f>
        <v>2718382</v>
      </c>
      <c r="F143" s="97">
        <f>F145+F146+F147+F144</f>
        <v>2634505.81</v>
      </c>
      <c r="G143" s="46">
        <f t="shared" si="28"/>
        <v>96.91448111413334</v>
      </c>
      <c r="H143" s="46">
        <f t="shared" si="27"/>
        <v>89.64904780636802</v>
      </c>
      <c r="I143" s="30">
        <f t="shared" si="26"/>
        <v>-83876.18999999994</v>
      </c>
      <c r="J143" s="30">
        <f t="shared" si="23"/>
        <v>-304182.18999999994</v>
      </c>
      <c r="K143" s="118">
        <f>K144+K145+K146+K147</f>
        <v>2423411.11</v>
      </c>
      <c r="L143" s="119">
        <f t="shared" si="19"/>
        <v>211094.7000000002</v>
      </c>
      <c r="M143" s="120">
        <f t="shared" si="20"/>
        <v>108.71064340379293</v>
      </c>
    </row>
    <row r="144" spans="1:13" s="10" customFormat="1" ht="68.25" customHeight="1">
      <c r="A144" s="38" t="s">
        <v>194</v>
      </c>
      <c r="B144" s="18" t="s">
        <v>195</v>
      </c>
      <c r="C144" s="98">
        <v>130000</v>
      </c>
      <c r="D144" s="98"/>
      <c r="E144" s="98"/>
      <c r="F144" s="98"/>
      <c r="G144" s="7">
        <f t="shared" si="28"/>
        <v>0</v>
      </c>
      <c r="H144" s="7">
        <f t="shared" si="27"/>
        <v>0</v>
      </c>
      <c r="I144" s="8">
        <f t="shared" si="26"/>
        <v>0</v>
      </c>
      <c r="J144" s="8">
        <f t="shared" si="23"/>
        <v>0</v>
      </c>
      <c r="K144" s="127">
        <v>126000</v>
      </c>
      <c r="L144" s="55">
        <f t="shared" si="19"/>
        <v>-126000</v>
      </c>
      <c r="M144" s="58">
        <f t="shared" si="20"/>
        <v>0</v>
      </c>
    </row>
    <row r="145" spans="1:13" s="10" customFormat="1" ht="23.25" customHeight="1">
      <c r="A145" s="38" t="s">
        <v>138</v>
      </c>
      <c r="B145" s="17" t="s">
        <v>139</v>
      </c>
      <c r="C145" s="98">
        <v>200000</v>
      </c>
      <c r="D145" s="98">
        <v>151200</v>
      </c>
      <c r="E145" s="98">
        <v>149454</v>
      </c>
      <c r="F145" s="98">
        <v>107226.08</v>
      </c>
      <c r="G145" s="7">
        <f t="shared" si="28"/>
        <v>71.74520588274653</v>
      </c>
      <c r="H145" s="7">
        <f t="shared" si="27"/>
        <v>70.91671957671957</v>
      </c>
      <c r="I145" s="8">
        <f t="shared" si="26"/>
        <v>-42227.92</v>
      </c>
      <c r="J145" s="8">
        <f t="shared" si="23"/>
        <v>-43973.92</v>
      </c>
      <c r="K145" s="127">
        <v>147862.49</v>
      </c>
      <c r="L145" s="55">
        <f t="shared" si="19"/>
        <v>-40636.40999999999</v>
      </c>
      <c r="M145" s="58">
        <f t="shared" si="20"/>
        <v>72.51743156766804</v>
      </c>
    </row>
    <row r="146" spans="1:13" s="10" customFormat="1" ht="39.75" customHeight="1">
      <c r="A146" s="38" t="s">
        <v>140</v>
      </c>
      <c r="B146" s="17" t="s">
        <v>141</v>
      </c>
      <c r="C146" s="98">
        <v>2083000</v>
      </c>
      <c r="D146" s="98">
        <v>2149100</v>
      </c>
      <c r="E146" s="98">
        <v>1971500</v>
      </c>
      <c r="F146" s="98">
        <v>1952645.09</v>
      </c>
      <c r="G146" s="7">
        <f t="shared" si="28"/>
        <v>99.04362617296475</v>
      </c>
      <c r="H146" s="7">
        <f t="shared" si="27"/>
        <v>90.85873574984878</v>
      </c>
      <c r="I146" s="8">
        <f t="shared" si="26"/>
        <v>-18854.909999999916</v>
      </c>
      <c r="J146" s="8">
        <f t="shared" si="23"/>
        <v>-196454.90999999992</v>
      </c>
      <c r="K146" s="127">
        <v>1666083.74</v>
      </c>
      <c r="L146" s="55">
        <f t="shared" si="19"/>
        <v>286561.3500000001</v>
      </c>
      <c r="M146" s="58">
        <f t="shared" si="20"/>
        <v>117.199696697118</v>
      </c>
    </row>
    <row r="147" spans="1:13" s="10" customFormat="1" ht="31.5" customHeight="1">
      <c r="A147" s="38" t="s">
        <v>142</v>
      </c>
      <c r="B147" s="17" t="s">
        <v>143</v>
      </c>
      <c r="C147" s="98">
        <v>628388</v>
      </c>
      <c r="D147" s="98">
        <v>638388</v>
      </c>
      <c r="E147" s="98">
        <v>597428</v>
      </c>
      <c r="F147" s="98">
        <v>574634.64</v>
      </c>
      <c r="G147" s="7">
        <f t="shared" si="28"/>
        <v>96.18475197011189</v>
      </c>
      <c r="H147" s="7">
        <f t="shared" si="27"/>
        <v>90.01338371022011</v>
      </c>
      <c r="I147" s="8">
        <f t="shared" si="26"/>
        <v>-22793.359999999986</v>
      </c>
      <c r="J147" s="8">
        <f t="shared" si="23"/>
        <v>-63753.359999999986</v>
      </c>
      <c r="K147" s="127">
        <v>483464.88</v>
      </c>
      <c r="L147" s="55">
        <f t="shared" si="19"/>
        <v>91169.76000000001</v>
      </c>
      <c r="M147" s="58">
        <f t="shared" si="20"/>
        <v>118.8575765834325</v>
      </c>
    </row>
    <row r="148" spans="1:13" s="10" customFormat="1" ht="22.5" customHeight="1" hidden="1">
      <c r="A148" s="38"/>
      <c r="B148" s="18"/>
      <c r="C148" s="98"/>
      <c r="D148" s="98"/>
      <c r="E148" s="98"/>
      <c r="F148" s="98"/>
      <c r="G148" s="7">
        <f t="shared" si="28"/>
        <v>0</v>
      </c>
      <c r="H148" s="7">
        <f aca="true" t="shared" si="29" ref="H148:H159">IF(D148=0,0,F148/D148%)</f>
        <v>0</v>
      </c>
      <c r="I148" s="8">
        <f t="shared" si="26"/>
        <v>0</v>
      </c>
      <c r="J148" s="8">
        <f>F148-D148</f>
        <v>0</v>
      </c>
      <c r="K148" s="110"/>
      <c r="L148" s="55">
        <f t="shared" si="19"/>
        <v>0</v>
      </c>
      <c r="M148" s="58">
        <f t="shared" si="20"/>
        <v>0</v>
      </c>
    </row>
    <row r="149" spans="1:13" s="32" customFormat="1" ht="20.25" customHeight="1">
      <c r="A149" s="37" t="s">
        <v>72</v>
      </c>
      <c r="B149" s="16" t="s">
        <v>10</v>
      </c>
      <c r="C149" s="97">
        <f>C150+C151+C152+C153</f>
        <v>3170650</v>
      </c>
      <c r="D149" s="97">
        <f>D150+D151+D152+D153</f>
        <v>3169088</v>
      </c>
      <c r="E149" s="97">
        <f>E150+E151+E152+E153</f>
        <v>2672363</v>
      </c>
      <c r="F149" s="97">
        <f>F150+F151+F152+F153</f>
        <v>2523770.93</v>
      </c>
      <c r="G149" s="46">
        <f t="shared" si="28"/>
        <v>94.43967492440211</v>
      </c>
      <c r="H149" s="46">
        <f t="shared" si="29"/>
        <v>79.63713629914979</v>
      </c>
      <c r="I149" s="30">
        <f t="shared" si="26"/>
        <v>-148592.06999999983</v>
      </c>
      <c r="J149" s="30">
        <f>F149-D149</f>
        <v>-645317.0699999998</v>
      </c>
      <c r="K149" s="118">
        <f>K150+K151+K153</f>
        <v>2279419.73</v>
      </c>
      <c r="L149" s="119">
        <f t="shared" si="19"/>
        <v>244351.2000000002</v>
      </c>
      <c r="M149" s="120">
        <f t="shared" si="20"/>
        <v>110.71988615277976</v>
      </c>
    </row>
    <row r="150" spans="1:13" s="10" customFormat="1" ht="20.25" customHeight="1">
      <c r="A150" s="38" t="s">
        <v>73</v>
      </c>
      <c r="B150" s="17" t="s">
        <v>144</v>
      </c>
      <c r="C150" s="98">
        <v>1129000</v>
      </c>
      <c r="D150" s="98">
        <v>1129000</v>
      </c>
      <c r="E150" s="98">
        <v>1013405</v>
      </c>
      <c r="F150" s="98">
        <v>979310.68</v>
      </c>
      <c r="G150" s="7">
        <f t="shared" si="28"/>
        <v>96.6356668854012</v>
      </c>
      <c r="H150" s="7">
        <f t="shared" si="29"/>
        <v>86.74142426926484</v>
      </c>
      <c r="I150" s="8">
        <f>F150-E150</f>
        <v>-34094.31999999995</v>
      </c>
      <c r="J150" s="8">
        <f>F150-D150</f>
        <v>-149689.31999999995</v>
      </c>
      <c r="K150" s="127">
        <v>916678.83</v>
      </c>
      <c r="L150" s="55">
        <f t="shared" si="19"/>
        <v>62631.85000000009</v>
      </c>
      <c r="M150" s="58">
        <f t="shared" si="20"/>
        <v>106.8324747938163</v>
      </c>
    </row>
    <row r="151" spans="1:13" s="10" customFormat="1" ht="39" customHeight="1">
      <c r="A151" s="38" t="s">
        <v>74</v>
      </c>
      <c r="B151" s="17" t="s">
        <v>145</v>
      </c>
      <c r="C151" s="98">
        <v>1521650</v>
      </c>
      <c r="D151" s="98">
        <v>1620550</v>
      </c>
      <c r="E151" s="98">
        <v>1379420</v>
      </c>
      <c r="F151" s="98">
        <v>1289712.17</v>
      </c>
      <c r="G151" s="7">
        <f t="shared" si="28"/>
        <v>93.49669933740266</v>
      </c>
      <c r="H151" s="7">
        <f t="shared" si="29"/>
        <v>79.58484280028385</v>
      </c>
      <c r="I151" s="8">
        <f t="shared" si="26"/>
        <v>-89707.83000000007</v>
      </c>
      <c r="J151" s="8">
        <f>F151-D151</f>
        <v>-330837.8300000001</v>
      </c>
      <c r="K151" s="127">
        <v>1029015.9</v>
      </c>
      <c r="L151" s="55">
        <f t="shared" si="19"/>
        <v>260696.2699999999</v>
      </c>
      <c r="M151" s="58">
        <f t="shared" si="20"/>
        <v>125.33452301368715</v>
      </c>
    </row>
    <row r="152" spans="1:13" s="10" customFormat="1" ht="24" customHeight="1" hidden="1">
      <c r="A152" s="38" t="s">
        <v>146</v>
      </c>
      <c r="B152" s="17" t="s">
        <v>147</v>
      </c>
      <c r="C152" s="98"/>
      <c r="D152" s="98"/>
      <c r="E152" s="98"/>
      <c r="F152" s="98"/>
      <c r="G152" s="7">
        <f t="shared" si="28"/>
        <v>0</v>
      </c>
      <c r="H152" s="7">
        <f t="shared" si="29"/>
        <v>0</v>
      </c>
      <c r="I152" s="8">
        <f t="shared" si="26"/>
        <v>0</v>
      </c>
      <c r="J152" s="8">
        <f aca="true" t="shared" si="30" ref="J152:J180">F152-D152</f>
        <v>0</v>
      </c>
      <c r="K152" s="110"/>
      <c r="L152" s="55">
        <f t="shared" si="19"/>
        <v>0</v>
      </c>
      <c r="M152" s="58">
        <f t="shared" si="20"/>
        <v>0</v>
      </c>
    </row>
    <row r="153" spans="1:13" s="10" customFormat="1" ht="20.25" customHeight="1">
      <c r="A153" s="38" t="s">
        <v>148</v>
      </c>
      <c r="B153" s="17" t="s">
        <v>149</v>
      </c>
      <c r="C153" s="98">
        <v>520000</v>
      </c>
      <c r="D153" s="98">
        <v>419538</v>
      </c>
      <c r="E153" s="98">
        <v>279538</v>
      </c>
      <c r="F153" s="98">
        <v>254748.08</v>
      </c>
      <c r="G153" s="7">
        <f t="shared" si="28"/>
        <v>91.13182465353547</v>
      </c>
      <c r="H153" s="7">
        <f t="shared" si="29"/>
        <v>60.7210979696714</v>
      </c>
      <c r="I153" s="8">
        <f t="shared" si="26"/>
        <v>-24789.920000000013</v>
      </c>
      <c r="J153" s="8">
        <f t="shared" si="30"/>
        <v>-164789.92</v>
      </c>
      <c r="K153" s="127">
        <v>333725</v>
      </c>
      <c r="L153" s="55">
        <f t="shared" si="19"/>
        <v>-78976.92000000001</v>
      </c>
      <c r="M153" s="58">
        <f t="shared" si="20"/>
        <v>76.33473069143756</v>
      </c>
    </row>
    <row r="154" spans="1:13" s="32" customFormat="1" ht="18.75" customHeight="1">
      <c r="A154" s="37" t="s">
        <v>75</v>
      </c>
      <c r="B154" s="16" t="s">
        <v>23</v>
      </c>
      <c r="C154" s="97">
        <f>C155</f>
        <v>440000</v>
      </c>
      <c r="D154" s="97">
        <f>D155</f>
        <v>440000</v>
      </c>
      <c r="E154" s="97">
        <f>E155</f>
        <v>321010</v>
      </c>
      <c r="F154" s="97">
        <f>F155</f>
        <v>264432.41</v>
      </c>
      <c r="G154" s="46">
        <f t="shared" si="28"/>
        <v>82.3751316158375</v>
      </c>
      <c r="H154" s="46">
        <f t="shared" si="29"/>
        <v>60.098274999999994</v>
      </c>
      <c r="I154" s="30">
        <f t="shared" si="26"/>
        <v>-56577.590000000026</v>
      </c>
      <c r="J154" s="30">
        <f t="shared" si="30"/>
        <v>-175567.59000000003</v>
      </c>
      <c r="K154" s="118">
        <f>K155</f>
        <v>375815.44</v>
      </c>
      <c r="L154" s="119">
        <f t="shared" si="19"/>
        <v>-111383.03000000003</v>
      </c>
      <c r="M154" s="120">
        <f t="shared" si="20"/>
        <v>70.36230602978951</v>
      </c>
    </row>
    <row r="155" spans="1:13" s="10" customFormat="1" ht="33.75" customHeight="1">
      <c r="A155" s="38" t="s">
        <v>76</v>
      </c>
      <c r="B155" s="17" t="s">
        <v>50</v>
      </c>
      <c r="C155" s="98">
        <v>440000</v>
      </c>
      <c r="D155" s="98">
        <v>440000</v>
      </c>
      <c r="E155" s="98">
        <v>321010</v>
      </c>
      <c r="F155" s="98">
        <v>264432.41</v>
      </c>
      <c r="G155" s="7">
        <f t="shared" si="28"/>
        <v>82.3751316158375</v>
      </c>
      <c r="H155" s="7">
        <f t="shared" si="29"/>
        <v>60.098274999999994</v>
      </c>
      <c r="I155" s="8">
        <f t="shared" si="26"/>
        <v>-56577.590000000026</v>
      </c>
      <c r="J155" s="8">
        <f t="shared" si="30"/>
        <v>-175567.59000000003</v>
      </c>
      <c r="K155" s="127">
        <v>375815.44</v>
      </c>
      <c r="L155" s="55">
        <f t="shared" si="19"/>
        <v>-111383.03000000003</v>
      </c>
      <c r="M155" s="58">
        <f t="shared" si="20"/>
        <v>70.36230602978951</v>
      </c>
    </row>
    <row r="156" spans="1:13" s="32" customFormat="1" ht="26.25" customHeight="1">
      <c r="A156" s="37" t="s">
        <v>150</v>
      </c>
      <c r="B156" s="19" t="s">
        <v>151</v>
      </c>
      <c r="C156" s="97">
        <f>C159+C157+C158</f>
        <v>10803000</v>
      </c>
      <c r="D156" s="97">
        <f>D159+D157+D158</f>
        <v>9927300</v>
      </c>
      <c r="E156" s="97">
        <f>E159+E157+E158</f>
        <v>8780497</v>
      </c>
      <c r="F156" s="97">
        <f>F159+F157+F158</f>
        <v>8407750.700000001</v>
      </c>
      <c r="G156" s="46">
        <f t="shared" si="28"/>
        <v>95.75483825118329</v>
      </c>
      <c r="H156" s="46">
        <f t="shared" si="29"/>
        <v>84.69322675853456</v>
      </c>
      <c r="I156" s="30">
        <f t="shared" si="26"/>
        <v>-372746.2999999989</v>
      </c>
      <c r="J156" s="30">
        <f t="shared" si="30"/>
        <v>-1519549.2999999989</v>
      </c>
      <c r="K156" s="118">
        <f>K157+K158+K159</f>
        <v>8289497.37</v>
      </c>
      <c r="L156" s="119">
        <f t="shared" si="19"/>
        <v>118253.330000001</v>
      </c>
      <c r="M156" s="120">
        <f t="shared" si="20"/>
        <v>101.42654403182472</v>
      </c>
    </row>
    <row r="157" spans="1:13" s="10" customFormat="1" ht="26.25" customHeight="1">
      <c r="A157" s="38" t="s">
        <v>152</v>
      </c>
      <c r="B157" s="17" t="s">
        <v>155</v>
      </c>
      <c r="C157" s="98">
        <v>435000</v>
      </c>
      <c r="D157" s="98">
        <v>131000</v>
      </c>
      <c r="E157" s="98">
        <v>111000</v>
      </c>
      <c r="F157" s="98">
        <v>65723.92</v>
      </c>
      <c r="G157" s="7">
        <f t="shared" si="28"/>
        <v>59.21073873873874</v>
      </c>
      <c r="H157" s="7">
        <f t="shared" si="29"/>
        <v>50.17093129770992</v>
      </c>
      <c r="I157" s="8">
        <f t="shared" si="26"/>
        <v>-45276.08</v>
      </c>
      <c r="J157" s="8">
        <f t="shared" si="30"/>
        <v>-65276.08</v>
      </c>
      <c r="K157" s="127">
        <v>393829.04</v>
      </c>
      <c r="L157" s="55">
        <f t="shared" si="19"/>
        <v>-328105.12</v>
      </c>
      <c r="M157" s="58">
        <f t="shared" si="20"/>
        <v>16.6884392273358</v>
      </c>
    </row>
    <row r="158" spans="1:13" s="10" customFormat="1" ht="26.25" customHeight="1">
      <c r="A158" s="38" t="s">
        <v>153</v>
      </c>
      <c r="B158" s="25" t="s">
        <v>156</v>
      </c>
      <c r="C158" s="98">
        <v>9684000</v>
      </c>
      <c r="D158" s="98">
        <v>9112300</v>
      </c>
      <c r="E158" s="98">
        <v>8042497</v>
      </c>
      <c r="F158" s="98">
        <v>7715026.78</v>
      </c>
      <c r="G158" s="7">
        <f t="shared" si="28"/>
        <v>95.92825188495563</v>
      </c>
      <c r="H158" s="7">
        <f t="shared" si="29"/>
        <v>84.66607530480779</v>
      </c>
      <c r="I158" s="8">
        <f t="shared" si="26"/>
        <v>-327470.21999999974</v>
      </c>
      <c r="J158" s="8">
        <f t="shared" si="30"/>
        <v>-1397273.2199999997</v>
      </c>
      <c r="K158" s="127">
        <v>7379668.33</v>
      </c>
      <c r="L158" s="55">
        <f t="shared" si="19"/>
        <v>335358.4500000002</v>
      </c>
      <c r="M158" s="58">
        <f t="shared" si="20"/>
        <v>104.54435667029496</v>
      </c>
    </row>
    <row r="159" spans="1:13" s="10" customFormat="1" ht="91.5" customHeight="1">
      <c r="A159" s="38" t="s">
        <v>154</v>
      </c>
      <c r="B159" s="17" t="s">
        <v>157</v>
      </c>
      <c r="C159" s="98">
        <v>684000</v>
      </c>
      <c r="D159" s="98">
        <v>684000</v>
      </c>
      <c r="E159" s="98">
        <v>627000</v>
      </c>
      <c r="F159" s="98">
        <v>627000</v>
      </c>
      <c r="G159" s="7">
        <f t="shared" si="28"/>
        <v>100</v>
      </c>
      <c r="H159" s="7">
        <f t="shared" si="29"/>
        <v>91.66666666666667</v>
      </c>
      <c r="I159" s="8">
        <f t="shared" si="26"/>
        <v>0</v>
      </c>
      <c r="J159" s="8">
        <f t="shared" si="30"/>
        <v>-57000</v>
      </c>
      <c r="K159" s="127">
        <v>516000</v>
      </c>
      <c r="L159" s="55">
        <f t="shared" si="19"/>
        <v>111000</v>
      </c>
      <c r="M159" s="58">
        <f t="shared" si="20"/>
        <v>121.51162790697674</v>
      </c>
    </row>
    <row r="160" spans="1:13" s="32" customFormat="1" ht="24" customHeight="1">
      <c r="A160" s="37" t="s">
        <v>158</v>
      </c>
      <c r="B160" s="26" t="s">
        <v>159</v>
      </c>
      <c r="C160" s="97">
        <f>C162+C163+C165+C164+C161</f>
        <v>950000</v>
      </c>
      <c r="D160" s="97">
        <f>D162+D163+D165+D164+D161</f>
        <v>774000</v>
      </c>
      <c r="E160" s="97">
        <f>E162+E163+E165+E164+E161</f>
        <v>755705</v>
      </c>
      <c r="F160" s="97">
        <f>F162+F163+F165+F164+F161</f>
        <v>751303.61</v>
      </c>
      <c r="G160" s="46">
        <f t="shared" si="28"/>
        <v>99.41757828782394</v>
      </c>
      <c r="H160" s="46">
        <f aca="true" t="shared" si="31" ref="H160:H197">IF(D160=0,0,F160/D160%)</f>
        <v>97.06764987080103</v>
      </c>
      <c r="I160" s="30">
        <f t="shared" si="26"/>
        <v>-4401.390000000014</v>
      </c>
      <c r="J160" s="30">
        <f t="shared" si="30"/>
        <v>-22696.390000000014</v>
      </c>
      <c r="K160" s="118">
        <f>K162+K163+K164+K165+K161</f>
        <v>944450</v>
      </c>
      <c r="L160" s="119">
        <f t="shared" si="19"/>
        <v>-193146.39</v>
      </c>
      <c r="M160" s="120">
        <f t="shared" si="20"/>
        <v>79.54932606278786</v>
      </c>
    </row>
    <row r="161" spans="1:13" s="10" customFormat="1" ht="24" customHeight="1">
      <c r="A161" s="38" t="s">
        <v>253</v>
      </c>
      <c r="B161" s="25" t="s">
        <v>254</v>
      </c>
      <c r="C161" s="98"/>
      <c r="D161" s="98">
        <v>169000</v>
      </c>
      <c r="E161" s="98">
        <v>157715</v>
      </c>
      <c r="F161" s="98">
        <v>157713.61</v>
      </c>
      <c r="G161" s="7">
        <f t="shared" si="28"/>
        <v>99.99911866341183</v>
      </c>
      <c r="H161" s="7">
        <f t="shared" si="31"/>
        <v>93.32166272189349</v>
      </c>
      <c r="I161" s="8">
        <f t="shared" si="26"/>
        <v>-1.3900000000139698</v>
      </c>
      <c r="J161" s="8">
        <f t="shared" si="30"/>
        <v>-11286.390000000014</v>
      </c>
      <c r="K161" s="110"/>
      <c r="L161" s="55">
        <f t="shared" si="19"/>
        <v>0</v>
      </c>
      <c r="M161" s="58">
        <f t="shared" si="20"/>
        <v>0</v>
      </c>
    </row>
    <row r="162" spans="1:13" s="10" customFormat="1" ht="40.5" customHeight="1" hidden="1">
      <c r="A162" s="38" t="s">
        <v>161</v>
      </c>
      <c r="B162" s="17" t="s">
        <v>165</v>
      </c>
      <c r="C162" s="98"/>
      <c r="D162" s="98"/>
      <c r="E162" s="98"/>
      <c r="F162" s="98"/>
      <c r="G162" s="7">
        <f t="shared" si="28"/>
        <v>0</v>
      </c>
      <c r="H162" s="7">
        <f t="shared" si="31"/>
        <v>0</v>
      </c>
      <c r="I162" s="8">
        <f t="shared" si="26"/>
        <v>0</v>
      </c>
      <c r="J162" s="8">
        <f t="shared" si="30"/>
        <v>0</v>
      </c>
      <c r="K162" s="110"/>
      <c r="L162" s="55">
        <f t="shared" si="19"/>
        <v>0</v>
      </c>
      <c r="M162" s="58">
        <f t="shared" si="20"/>
        <v>0</v>
      </c>
    </row>
    <row r="163" spans="1:13" s="10" customFormat="1" ht="24" customHeight="1" hidden="1">
      <c r="A163" s="38" t="s">
        <v>162</v>
      </c>
      <c r="B163" s="17" t="s">
        <v>166</v>
      </c>
      <c r="C163" s="98"/>
      <c r="D163" s="98"/>
      <c r="E163" s="98"/>
      <c r="F163" s="98"/>
      <c r="G163" s="7">
        <f t="shared" si="28"/>
        <v>0</v>
      </c>
      <c r="H163" s="7">
        <f t="shared" si="31"/>
        <v>0</v>
      </c>
      <c r="I163" s="8">
        <f t="shared" si="26"/>
        <v>0</v>
      </c>
      <c r="J163" s="8">
        <f t="shared" si="30"/>
        <v>0</v>
      </c>
      <c r="K163" s="110"/>
      <c r="L163" s="55">
        <f t="shared" si="19"/>
        <v>0</v>
      </c>
      <c r="M163" s="58">
        <f t="shared" si="20"/>
        <v>0</v>
      </c>
    </row>
    <row r="164" spans="1:13" s="10" customFormat="1" ht="41.25" customHeight="1">
      <c r="A164" s="38" t="s">
        <v>212</v>
      </c>
      <c r="B164" s="17" t="s">
        <v>228</v>
      </c>
      <c r="C164" s="98">
        <v>930000</v>
      </c>
      <c r="D164" s="98">
        <v>585000</v>
      </c>
      <c r="E164" s="98">
        <v>577990</v>
      </c>
      <c r="F164" s="98">
        <v>577990</v>
      </c>
      <c r="G164" s="7">
        <f t="shared" si="28"/>
        <v>100</v>
      </c>
      <c r="H164" s="7">
        <f t="shared" si="31"/>
        <v>98.8017094017094</v>
      </c>
      <c r="I164" s="8">
        <f t="shared" si="26"/>
        <v>0</v>
      </c>
      <c r="J164" s="8">
        <f t="shared" si="30"/>
        <v>-7010</v>
      </c>
      <c r="K164" s="127">
        <v>926742</v>
      </c>
      <c r="L164" s="55">
        <f t="shared" si="19"/>
        <v>-348752</v>
      </c>
      <c r="M164" s="58">
        <f t="shared" si="20"/>
        <v>62.36795138236963</v>
      </c>
    </row>
    <row r="165" spans="1:13" s="10" customFormat="1" ht="24" customHeight="1">
      <c r="A165" s="38" t="s">
        <v>204</v>
      </c>
      <c r="B165" s="17" t="s">
        <v>205</v>
      </c>
      <c r="C165" s="98">
        <v>20000</v>
      </c>
      <c r="D165" s="98">
        <v>20000</v>
      </c>
      <c r="E165" s="98">
        <v>20000</v>
      </c>
      <c r="F165" s="98">
        <v>15600</v>
      </c>
      <c r="G165" s="7">
        <f t="shared" si="28"/>
        <v>78</v>
      </c>
      <c r="H165" s="7">
        <f t="shared" si="31"/>
        <v>78</v>
      </c>
      <c r="I165" s="8">
        <f t="shared" si="26"/>
        <v>-4400</v>
      </c>
      <c r="J165" s="8">
        <f t="shared" si="30"/>
        <v>-4400</v>
      </c>
      <c r="K165" s="127">
        <v>17708</v>
      </c>
      <c r="L165" s="55">
        <f t="shared" si="19"/>
        <v>-2108</v>
      </c>
      <c r="M165" s="58">
        <f t="shared" si="20"/>
        <v>88.09577592048792</v>
      </c>
    </row>
    <row r="166" spans="1:13" s="10" customFormat="1" ht="18.75" customHeight="1">
      <c r="A166" s="37" t="s">
        <v>168</v>
      </c>
      <c r="B166" s="16" t="s">
        <v>11</v>
      </c>
      <c r="C166" s="98">
        <v>300000</v>
      </c>
      <c r="D166" s="98">
        <v>192000</v>
      </c>
      <c r="E166" s="98">
        <v>100308</v>
      </c>
      <c r="F166" s="98"/>
      <c r="G166" s="7">
        <f t="shared" si="28"/>
        <v>0</v>
      </c>
      <c r="H166" s="7">
        <f t="shared" si="31"/>
        <v>0</v>
      </c>
      <c r="I166" s="8">
        <f>F166-E166</f>
        <v>-100308</v>
      </c>
      <c r="J166" s="8">
        <f t="shared" si="30"/>
        <v>-192000</v>
      </c>
      <c r="K166" s="110"/>
      <c r="L166" s="55">
        <f t="shared" si="19"/>
        <v>0</v>
      </c>
      <c r="M166" s="58">
        <f t="shared" si="20"/>
        <v>0</v>
      </c>
    </row>
    <row r="167" spans="1:13" s="10" customFormat="1" ht="18.75" customHeight="1">
      <c r="A167" s="37" t="s">
        <v>224</v>
      </c>
      <c r="B167" s="16" t="s">
        <v>225</v>
      </c>
      <c r="C167" s="98">
        <v>22300</v>
      </c>
      <c r="D167" s="98">
        <v>22300</v>
      </c>
      <c r="E167" s="98">
        <v>20900</v>
      </c>
      <c r="F167" s="98">
        <v>20900</v>
      </c>
      <c r="G167" s="7">
        <f t="shared" si="28"/>
        <v>100</v>
      </c>
      <c r="H167" s="7">
        <f t="shared" si="31"/>
        <v>93.72197309417041</v>
      </c>
      <c r="I167" s="8">
        <f>F167-E167</f>
        <v>0</v>
      </c>
      <c r="J167" s="8">
        <f t="shared" si="30"/>
        <v>-1400</v>
      </c>
      <c r="K167" s="127">
        <v>327800</v>
      </c>
      <c r="L167" s="55">
        <f>F167-K167</f>
        <v>-306900</v>
      </c>
      <c r="M167" s="58">
        <f t="shared" si="20"/>
        <v>6.375838926174497</v>
      </c>
    </row>
    <row r="168" spans="1:13" s="10" customFormat="1" ht="51.75" customHeight="1">
      <c r="A168" s="37" t="s">
        <v>169</v>
      </c>
      <c r="B168" s="16" t="s">
        <v>171</v>
      </c>
      <c r="C168" s="98">
        <v>200000</v>
      </c>
      <c r="D168" s="98">
        <v>200000</v>
      </c>
      <c r="E168" s="98">
        <v>200000</v>
      </c>
      <c r="F168" s="98">
        <v>199999</v>
      </c>
      <c r="G168" s="7">
        <f t="shared" si="28"/>
        <v>99.9995</v>
      </c>
      <c r="H168" s="7">
        <f t="shared" si="31"/>
        <v>99.9995</v>
      </c>
      <c r="I168" s="8">
        <f>F168-E168</f>
        <v>-1</v>
      </c>
      <c r="J168" s="8">
        <f t="shared" si="30"/>
        <v>-1</v>
      </c>
      <c r="K168" s="127">
        <v>550000</v>
      </c>
      <c r="L168" s="55">
        <f>F168-K168</f>
        <v>-350001</v>
      </c>
      <c r="M168" s="58">
        <f t="shared" si="20"/>
        <v>36.363454545454545</v>
      </c>
    </row>
    <row r="169" spans="1:13" s="10" customFormat="1" ht="30.75" customHeight="1">
      <c r="A169" s="37" t="s">
        <v>170</v>
      </c>
      <c r="B169" s="40" t="s">
        <v>113</v>
      </c>
      <c r="C169" s="98">
        <v>77220</v>
      </c>
      <c r="D169" s="98">
        <v>166220</v>
      </c>
      <c r="E169" s="98">
        <v>142020</v>
      </c>
      <c r="F169" s="98">
        <v>95636.28</v>
      </c>
      <c r="G169" s="7">
        <f t="shared" si="28"/>
        <v>67.34000844951414</v>
      </c>
      <c r="H169" s="7">
        <f t="shared" si="31"/>
        <v>57.535964384550596</v>
      </c>
      <c r="I169" s="8">
        <f t="shared" si="26"/>
        <v>-46383.72</v>
      </c>
      <c r="J169" s="8">
        <f t="shared" si="30"/>
        <v>-70583.72</v>
      </c>
      <c r="K169" s="127">
        <v>213880</v>
      </c>
      <c r="L169" s="55">
        <f>F169-K169</f>
        <v>-118243.72</v>
      </c>
      <c r="M169" s="58">
        <f t="shared" si="20"/>
        <v>44.71492425659248</v>
      </c>
    </row>
    <row r="170" spans="1:13" s="10" customFormat="1" ht="44.25" customHeight="1">
      <c r="A170" s="37" t="s">
        <v>255</v>
      </c>
      <c r="B170" s="16" t="s">
        <v>243</v>
      </c>
      <c r="C170" s="98"/>
      <c r="D170" s="98">
        <v>130000</v>
      </c>
      <c r="E170" s="98">
        <v>125000</v>
      </c>
      <c r="F170" s="98"/>
      <c r="G170" s="7">
        <f t="shared" si="28"/>
        <v>0</v>
      </c>
      <c r="H170" s="7">
        <f t="shared" si="31"/>
        <v>0</v>
      </c>
      <c r="I170" s="8">
        <f t="shared" si="26"/>
        <v>-125000</v>
      </c>
      <c r="J170" s="8">
        <f t="shared" si="30"/>
        <v>-130000</v>
      </c>
      <c r="K170" s="110"/>
      <c r="L170" s="55">
        <f t="shared" si="19"/>
        <v>0</v>
      </c>
      <c r="M170" s="58">
        <f t="shared" si="20"/>
        <v>0</v>
      </c>
    </row>
    <row r="171" spans="1:13" s="10" customFormat="1" ht="44.25" customHeight="1" hidden="1">
      <c r="A171" s="38" t="s">
        <v>34</v>
      </c>
      <c r="B171" s="18" t="s">
        <v>33</v>
      </c>
      <c r="C171" s="98"/>
      <c r="D171" s="98"/>
      <c r="E171" s="98"/>
      <c r="F171" s="98"/>
      <c r="G171" s="7">
        <f t="shared" si="28"/>
        <v>0</v>
      </c>
      <c r="H171" s="7">
        <f t="shared" si="31"/>
        <v>0</v>
      </c>
      <c r="I171" s="8">
        <f t="shared" si="26"/>
        <v>0</v>
      </c>
      <c r="J171" s="8">
        <f t="shared" si="30"/>
        <v>0</v>
      </c>
      <c r="K171" s="110"/>
      <c r="L171" s="55">
        <f t="shared" si="19"/>
        <v>0</v>
      </c>
      <c r="M171" s="58">
        <f t="shared" si="20"/>
        <v>0</v>
      </c>
    </row>
    <row r="172" spans="1:13" s="10" customFormat="1" ht="44.25" customHeight="1" hidden="1">
      <c r="A172" s="38" t="s">
        <v>32</v>
      </c>
      <c r="B172" s="18" t="s">
        <v>31</v>
      </c>
      <c r="C172" s="98"/>
      <c r="D172" s="98"/>
      <c r="E172" s="98"/>
      <c r="F172" s="98"/>
      <c r="G172" s="7">
        <f t="shared" si="28"/>
        <v>0</v>
      </c>
      <c r="H172" s="7">
        <f t="shared" si="31"/>
        <v>0</v>
      </c>
      <c r="I172" s="8">
        <f t="shared" si="26"/>
        <v>0</v>
      </c>
      <c r="J172" s="8">
        <f t="shared" si="30"/>
        <v>0</v>
      </c>
      <c r="K172" s="110"/>
      <c r="L172" s="55">
        <f t="shared" si="19"/>
        <v>0</v>
      </c>
      <c r="M172" s="58">
        <f t="shared" si="20"/>
        <v>0</v>
      </c>
    </row>
    <row r="173" spans="1:13" s="10" customFormat="1" ht="44.25" customHeight="1" hidden="1">
      <c r="A173" s="38" t="s">
        <v>40</v>
      </c>
      <c r="B173" s="41" t="s">
        <v>39</v>
      </c>
      <c r="C173" s="98"/>
      <c r="D173" s="98"/>
      <c r="E173" s="98"/>
      <c r="F173" s="98">
        <v>0</v>
      </c>
      <c r="G173" s="7">
        <f t="shared" si="28"/>
        <v>0</v>
      </c>
      <c r="H173" s="7">
        <f t="shared" si="31"/>
        <v>0</v>
      </c>
      <c r="I173" s="8">
        <f t="shared" si="26"/>
        <v>0</v>
      </c>
      <c r="J173" s="8">
        <f t="shared" si="30"/>
        <v>0</v>
      </c>
      <c r="K173" s="110"/>
      <c r="L173" s="55">
        <f t="shared" si="19"/>
        <v>0</v>
      </c>
      <c r="M173" s="58">
        <f t="shared" si="20"/>
        <v>0</v>
      </c>
    </row>
    <row r="174" spans="1:13" s="32" customFormat="1" ht="44.25" customHeight="1">
      <c r="A174" s="37"/>
      <c r="B174" s="13" t="s">
        <v>12</v>
      </c>
      <c r="C174" s="59">
        <f>C124+C127+C136+C143+C149+C154+C156+C160+C166+C168+C169+C167</f>
        <v>71087750</v>
      </c>
      <c r="D174" s="59">
        <f>D124+D127+D136+D143+D149+D154+D156+D160+D166+D168+D169+D167+D170</f>
        <v>72017948</v>
      </c>
      <c r="E174" s="59">
        <f>E124+E127+E136+E143+E149+E154+E156+E160+E166+E168+E169+E167+E170</f>
        <v>64535016</v>
      </c>
      <c r="F174" s="59">
        <f>F124+F127+F136+F143+F149+F154+F156+F160+F166+F168+F169+F167+F170</f>
        <v>56595301.31</v>
      </c>
      <c r="G174" s="46">
        <f aca="true" t="shared" si="32" ref="G174:G225">IF(E174=0,0,F174/E174%)</f>
        <v>87.69704389629345</v>
      </c>
      <c r="H174" s="46">
        <f t="shared" si="31"/>
        <v>78.58499565969306</v>
      </c>
      <c r="I174" s="30">
        <f t="shared" si="26"/>
        <v>-7939714.689999998</v>
      </c>
      <c r="J174" s="30">
        <f t="shared" si="30"/>
        <v>-15422646.689999998</v>
      </c>
      <c r="K174" s="118">
        <f>K124+K127+K136+K143+K149+K154+K156+K160+K166+K167+K168+K169+K170</f>
        <v>56668553.20999999</v>
      </c>
      <c r="L174" s="119">
        <f t="shared" si="19"/>
        <v>-73251.89999999106</v>
      </c>
      <c r="M174" s="120">
        <f t="shared" si="20"/>
        <v>99.87073624461783</v>
      </c>
    </row>
    <row r="175" spans="1:13" s="10" customFormat="1" ht="20.25" customHeight="1">
      <c r="A175" s="38"/>
      <c r="B175" s="14" t="s">
        <v>4</v>
      </c>
      <c r="C175" s="98"/>
      <c r="D175" s="98"/>
      <c r="E175" s="98"/>
      <c r="F175" s="98"/>
      <c r="G175" s="7">
        <f t="shared" si="32"/>
        <v>0</v>
      </c>
      <c r="H175" s="7">
        <f t="shared" si="31"/>
        <v>0</v>
      </c>
      <c r="I175" s="30">
        <f aca="true" t="shared" si="33" ref="I175:I221">F175-E175</f>
        <v>0</v>
      </c>
      <c r="J175" s="30">
        <f t="shared" si="30"/>
        <v>0</v>
      </c>
      <c r="K175" s="110"/>
      <c r="L175" s="55">
        <f t="shared" si="19"/>
        <v>0</v>
      </c>
      <c r="M175" s="58">
        <f t="shared" si="20"/>
        <v>0</v>
      </c>
    </row>
    <row r="176" spans="1:13" s="10" customFormat="1" ht="16.5" customHeight="1" hidden="1">
      <c r="A176" s="38" t="s">
        <v>16</v>
      </c>
      <c r="B176" s="18" t="s">
        <v>6</v>
      </c>
      <c r="C176" s="98"/>
      <c r="D176" s="98"/>
      <c r="E176" s="98"/>
      <c r="F176" s="98"/>
      <c r="G176" s="7">
        <f t="shared" si="32"/>
        <v>0</v>
      </c>
      <c r="H176" s="7">
        <f t="shared" si="31"/>
        <v>0</v>
      </c>
      <c r="I176" s="30">
        <f t="shared" si="33"/>
        <v>0</v>
      </c>
      <c r="J176" s="30">
        <f t="shared" si="30"/>
        <v>0</v>
      </c>
      <c r="K176" s="110"/>
      <c r="L176" s="55">
        <f t="shared" si="19"/>
        <v>0</v>
      </c>
      <c r="M176" s="58">
        <f t="shared" si="20"/>
        <v>0</v>
      </c>
    </row>
    <row r="177" spans="1:13" s="10" customFormat="1" ht="16.5" customHeight="1" hidden="1">
      <c r="A177" s="37" t="s">
        <v>16</v>
      </c>
      <c r="B177" s="18" t="s">
        <v>6</v>
      </c>
      <c r="C177" s="98">
        <f aca="true" t="shared" si="34" ref="C177:F178">C179</f>
        <v>0</v>
      </c>
      <c r="D177" s="98">
        <f t="shared" si="34"/>
        <v>0</v>
      </c>
      <c r="E177" s="98">
        <f t="shared" si="34"/>
        <v>0</v>
      </c>
      <c r="F177" s="98">
        <f t="shared" si="34"/>
        <v>0</v>
      </c>
      <c r="G177" s="7">
        <f t="shared" si="32"/>
        <v>0</v>
      </c>
      <c r="H177" s="7">
        <f t="shared" si="31"/>
        <v>0</v>
      </c>
      <c r="I177" s="30">
        <f t="shared" si="33"/>
        <v>0</v>
      </c>
      <c r="J177" s="30">
        <f t="shared" si="30"/>
        <v>0</v>
      </c>
      <c r="K177" s="110"/>
      <c r="L177" s="55">
        <f aca="true" t="shared" si="35" ref="L177:L225">IF(K177=0,0,F177-K177)</f>
        <v>0</v>
      </c>
      <c r="M177" s="58">
        <f aca="true" t="shared" si="36" ref="M177:M225">IF(K177=0,0,F177/K177*100)</f>
        <v>0</v>
      </c>
    </row>
    <row r="178" spans="1:13" s="32" customFormat="1" ht="16.5" customHeight="1">
      <c r="A178" s="37" t="s">
        <v>64</v>
      </c>
      <c r="B178" s="16" t="s">
        <v>6</v>
      </c>
      <c r="C178" s="97">
        <f t="shared" si="34"/>
        <v>17000</v>
      </c>
      <c r="D178" s="97">
        <f t="shared" si="34"/>
        <v>1137445</v>
      </c>
      <c r="E178" s="97">
        <f t="shared" si="34"/>
        <v>1134128.33</v>
      </c>
      <c r="F178" s="97">
        <f t="shared" si="34"/>
        <v>896281</v>
      </c>
      <c r="G178" s="46">
        <f t="shared" si="32"/>
        <v>79.02818193422608</v>
      </c>
      <c r="H178" s="46">
        <f t="shared" si="31"/>
        <v>78.79774406674608</v>
      </c>
      <c r="I178" s="30">
        <f t="shared" si="33"/>
        <v>-237847.33000000007</v>
      </c>
      <c r="J178" s="30">
        <f t="shared" si="30"/>
        <v>-241164</v>
      </c>
      <c r="K178" s="118">
        <f>K180</f>
        <v>1884944.14</v>
      </c>
      <c r="L178" s="119">
        <f>F178-K178</f>
        <v>-988663.1399999999</v>
      </c>
      <c r="M178" s="120">
        <f t="shared" si="36"/>
        <v>47.54947273928234</v>
      </c>
    </row>
    <row r="179" spans="1:13" s="10" customFormat="1" ht="16.5" customHeight="1" hidden="1">
      <c r="A179" s="38" t="s">
        <v>121</v>
      </c>
      <c r="B179" s="17" t="s">
        <v>122</v>
      </c>
      <c r="C179" s="98"/>
      <c r="D179" s="98"/>
      <c r="E179" s="98"/>
      <c r="F179" s="98"/>
      <c r="G179" s="7">
        <f t="shared" si="32"/>
        <v>0</v>
      </c>
      <c r="H179" s="7">
        <f t="shared" si="31"/>
        <v>0</v>
      </c>
      <c r="I179" s="8">
        <f t="shared" si="33"/>
        <v>0</v>
      </c>
      <c r="J179" s="8">
        <f t="shared" si="30"/>
        <v>0</v>
      </c>
      <c r="K179" s="110"/>
      <c r="L179" s="55">
        <f t="shared" si="35"/>
        <v>0</v>
      </c>
      <c r="M179" s="58">
        <f t="shared" si="36"/>
        <v>0</v>
      </c>
    </row>
    <row r="180" spans="1:13" s="10" customFormat="1" ht="60" customHeight="1">
      <c r="A180" s="38" t="s">
        <v>121</v>
      </c>
      <c r="B180" s="17" t="s">
        <v>122</v>
      </c>
      <c r="C180" s="98">
        <v>17000</v>
      </c>
      <c r="D180" s="98">
        <v>1137445</v>
      </c>
      <c r="E180" s="98">
        <v>1134128.33</v>
      </c>
      <c r="F180" s="98">
        <v>896281</v>
      </c>
      <c r="G180" s="7">
        <f t="shared" si="32"/>
        <v>79.02818193422608</v>
      </c>
      <c r="H180" s="7">
        <f t="shared" si="31"/>
        <v>78.79774406674608</v>
      </c>
      <c r="I180" s="8">
        <f t="shared" si="33"/>
        <v>-237847.33000000007</v>
      </c>
      <c r="J180" s="8">
        <f t="shared" si="30"/>
        <v>-241164</v>
      </c>
      <c r="K180" s="127">
        <v>1884944.14</v>
      </c>
      <c r="L180" s="55">
        <f>F180-K180</f>
        <v>-988663.1399999999</v>
      </c>
      <c r="M180" s="58">
        <f t="shared" si="36"/>
        <v>47.54947273928234</v>
      </c>
    </row>
    <row r="181" spans="1:13" s="32" customFormat="1" ht="19.5" customHeight="1">
      <c r="A181" s="37" t="s">
        <v>65</v>
      </c>
      <c r="B181" s="16" t="s">
        <v>7</v>
      </c>
      <c r="C181" s="97">
        <f>C187+C189+C191+C192</f>
        <v>319127</v>
      </c>
      <c r="D181" s="97">
        <f>D187+D189+D191+D192+D190</f>
        <v>4738053</v>
      </c>
      <c r="E181" s="97">
        <f>E187+E189+E191+E192+E190</f>
        <v>4711459.09</v>
      </c>
      <c r="F181" s="97">
        <f>F187+F189+F191+F192+F190</f>
        <v>3552809.52</v>
      </c>
      <c r="G181" s="46">
        <f t="shared" si="32"/>
        <v>75.40783973993925</v>
      </c>
      <c r="H181" s="46">
        <f t="shared" si="31"/>
        <v>74.98458797316113</v>
      </c>
      <c r="I181" s="30">
        <f t="shared" si="33"/>
        <v>-1158649.5699999998</v>
      </c>
      <c r="J181" s="30">
        <f aca="true" t="shared" si="37" ref="J181:J223">F181-D181</f>
        <v>-1185243.48</v>
      </c>
      <c r="K181" s="118">
        <f>K187+K189+K191+K192+K190</f>
        <v>7827244.4799999995</v>
      </c>
      <c r="L181" s="119">
        <f t="shared" si="35"/>
        <v>-4274434.959999999</v>
      </c>
      <c r="M181" s="120">
        <f t="shared" si="36"/>
        <v>45.390297046145164</v>
      </c>
    </row>
    <row r="182" spans="1:13" s="10" customFormat="1" ht="12" customHeight="1" hidden="1">
      <c r="A182" s="38" t="s">
        <v>66</v>
      </c>
      <c r="B182" s="39" t="s">
        <v>62</v>
      </c>
      <c r="C182" s="98"/>
      <c r="D182" s="98">
        <v>0</v>
      </c>
      <c r="E182" s="98">
        <v>0</v>
      </c>
      <c r="F182" s="98"/>
      <c r="G182" s="7">
        <f t="shared" si="32"/>
        <v>0</v>
      </c>
      <c r="H182" s="7">
        <f t="shared" si="31"/>
        <v>0</v>
      </c>
      <c r="I182" s="8">
        <f t="shared" si="33"/>
        <v>0</v>
      </c>
      <c r="J182" s="8">
        <f t="shared" si="37"/>
        <v>0</v>
      </c>
      <c r="K182" s="110"/>
      <c r="L182" s="55">
        <f t="shared" si="35"/>
        <v>0</v>
      </c>
      <c r="M182" s="58">
        <f t="shared" si="36"/>
        <v>0</v>
      </c>
    </row>
    <row r="183" spans="1:13" s="10" customFormat="1" ht="13.5" customHeight="1" hidden="1">
      <c r="A183" s="38" t="s">
        <v>25</v>
      </c>
      <c r="B183" s="42" t="s">
        <v>26</v>
      </c>
      <c r="C183" s="98"/>
      <c r="D183" s="98">
        <v>0</v>
      </c>
      <c r="E183" s="98">
        <v>0</v>
      </c>
      <c r="F183" s="98"/>
      <c r="G183" s="7">
        <f t="shared" si="32"/>
        <v>0</v>
      </c>
      <c r="H183" s="7">
        <f t="shared" si="31"/>
        <v>0</v>
      </c>
      <c r="I183" s="8">
        <f t="shared" si="33"/>
        <v>0</v>
      </c>
      <c r="J183" s="8">
        <f t="shared" si="37"/>
        <v>0</v>
      </c>
      <c r="K183" s="110"/>
      <c r="L183" s="55">
        <f t="shared" si="35"/>
        <v>0</v>
      </c>
      <c r="M183" s="58">
        <f t="shared" si="36"/>
        <v>0</v>
      </c>
    </row>
    <row r="184" spans="1:13" s="10" customFormat="1" ht="9.75" customHeight="1" hidden="1">
      <c r="A184" s="38" t="s">
        <v>21</v>
      </c>
      <c r="B184" s="43" t="s">
        <v>22</v>
      </c>
      <c r="C184" s="98"/>
      <c r="D184" s="98"/>
      <c r="E184" s="98"/>
      <c r="F184" s="98"/>
      <c r="G184" s="7">
        <f t="shared" si="32"/>
        <v>0</v>
      </c>
      <c r="H184" s="7">
        <f t="shared" si="31"/>
        <v>0</v>
      </c>
      <c r="I184" s="8">
        <f t="shared" si="33"/>
        <v>0</v>
      </c>
      <c r="J184" s="8">
        <f t="shared" si="37"/>
        <v>0</v>
      </c>
      <c r="K184" s="110"/>
      <c r="L184" s="55">
        <f t="shared" si="35"/>
        <v>0</v>
      </c>
      <c r="M184" s="58">
        <f t="shared" si="36"/>
        <v>0</v>
      </c>
    </row>
    <row r="185" spans="1:13" s="10" customFormat="1" ht="11.25" customHeight="1" hidden="1">
      <c r="A185" s="38"/>
      <c r="B185" s="44"/>
      <c r="C185" s="98"/>
      <c r="D185" s="98"/>
      <c r="E185" s="98"/>
      <c r="F185" s="98"/>
      <c r="G185" s="7">
        <f t="shared" si="32"/>
        <v>0</v>
      </c>
      <c r="H185" s="7">
        <f t="shared" si="31"/>
        <v>0</v>
      </c>
      <c r="I185" s="8">
        <f t="shared" si="33"/>
        <v>0</v>
      </c>
      <c r="J185" s="8">
        <f t="shared" si="37"/>
        <v>0</v>
      </c>
      <c r="K185" s="110"/>
      <c r="L185" s="55">
        <f t="shared" si="35"/>
        <v>0</v>
      </c>
      <c r="M185" s="58">
        <f t="shared" si="36"/>
        <v>0</v>
      </c>
    </row>
    <row r="186" spans="1:13" s="10" customFormat="1" ht="12" customHeight="1" hidden="1">
      <c r="A186" s="9">
        <v>180409</v>
      </c>
      <c r="B186" s="44" t="s">
        <v>29</v>
      </c>
      <c r="C186" s="98"/>
      <c r="D186" s="98"/>
      <c r="E186" s="98"/>
      <c r="F186" s="98"/>
      <c r="G186" s="7">
        <f t="shared" si="32"/>
        <v>0</v>
      </c>
      <c r="H186" s="7">
        <f t="shared" si="31"/>
        <v>0</v>
      </c>
      <c r="I186" s="8">
        <f t="shared" si="33"/>
        <v>0</v>
      </c>
      <c r="J186" s="8">
        <f t="shared" si="37"/>
        <v>0</v>
      </c>
      <c r="K186" s="110"/>
      <c r="L186" s="55">
        <f t="shared" si="35"/>
        <v>0</v>
      </c>
      <c r="M186" s="58">
        <f t="shared" si="36"/>
        <v>0</v>
      </c>
    </row>
    <row r="187" spans="1:13" s="10" customFormat="1" ht="29.25" customHeight="1">
      <c r="A187" s="38" t="s">
        <v>123</v>
      </c>
      <c r="B187" s="18" t="s">
        <v>124</v>
      </c>
      <c r="C187" s="98">
        <v>55000</v>
      </c>
      <c r="D187" s="98">
        <v>55000</v>
      </c>
      <c r="E187" s="98">
        <v>50416.67</v>
      </c>
      <c r="F187" s="98">
        <v>34546.15</v>
      </c>
      <c r="G187" s="7">
        <f t="shared" si="32"/>
        <v>68.52128472586547</v>
      </c>
      <c r="H187" s="7">
        <f t="shared" si="31"/>
        <v>62.81118181818182</v>
      </c>
      <c r="I187" s="8">
        <f t="shared" si="33"/>
        <v>-15870.519999999997</v>
      </c>
      <c r="J187" s="8">
        <f t="shared" si="37"/>
        <v>-20453.85</v>
      </c>
      <c r="K187" s="127">
        <v>42249.67</v>
      </c>
      <c r="L187" s="55">
        <f>IF(K187=0,0,F187-K187)</f>
        <v>-7703.519999999997</v>
      </c>
      <c r="M187" s="58">
        <f t="shared" si="36"/>
        <v>81.76667415390465</v>
      </c>
    </row>
    <row r="188" spans="1:13" s="10" customFormat="1" ht="31.5" customHeight="1" hidden="1">
      <c r="A188" s="9"/>
      <c r="B188" s="39"/>
      <c r="C188" s="98"/>
      <c r="D188" s="98"/>
      <c r="E188" s="98"/>
      <c r="F188" s="98"/>
      <c r="G188" s="7">
        <f t="shared" si="32"/>
        <v>0</v>
      </c>
      <c r="H188" s="7">
        <f t="shared" si="31"/>
        <v>0</v>
      </c>
      <c r="I188" s="8">
        <f t="shared" si="33"/>
        <v>0</v>
      </c>
      <c r="J188" s="8">
        <f t="shared" si="37"/>
        <v>0</v>
      </c>
      <c r="K188" s="110"/>
      <c r="L188" s="55">
        <f t="shared" si="35"/>
        <v>0</v>
      </c>
      <c r="M188" s="58">
        <f t="shared" si="36"/>
        <v>0</v>
      </c>
    </row>
    <row r="189" spans="1:13" s="101" customFormat="1" ht="57" customHeight="1">
      <c r="A189" s="92" t="s">
        <v>66</v>
      </c>
      <c r="B189" s="93" t="s">
        <v>62</v>
      </c>
      <c r="C189" s="98">
        <v>251100</v>
      </c>
      <c r="D189" s="98">
        <v>4670026</v>
      </c>
      <c r="E189" s="98">
        <v>4649101</v>
      </c>
      <c r="F189" s="98">
        <v>3517909.37</v>
      </c>
      <c r="G189" s="63">
        <f t="shared" si="32"/>
        <v>75.6685942077834</v>
      </c>
      <c r="H189" s="63">
        <f t="shared" si="31"/>
        <v>75.32954570274342</v>
      </c>
      <c r="I189" s="60">
        <f t="shared" si="33"/>
        <v>-1131191.63</v>
      </c>
      <c r="J189" s="60">
        <f t="shared" si="37"/>
        <v>-1152116.63</v>
      </c>
      <c r="K189" s="127">
        <v>5581640.81</v>
      </c>
      <c r="L189" s="110">
        <f t="shared" si="35"/>
        <v>-2063731.4399999995</v>
      </c>
      <c r="M189" s="122">
        <f t="shared" si="36"/>
        <v>63.02643774026728</v>
      </c>
    </row>
    <row r="190" spans="1:13" s="10" customFormat="1" ht="27.75" customHeight="1">
      <c r="A190" s="9">
        <v>1162</v>
      </c>
      <c r="B190" s="39" t="s">
        <v>131</v>
      </c>
      <c r="C190" s="98"/>
      <c r="D190" s="98"/>
      <c r="E190" s="98"/>
      <c r="F190" s="98"/>
      <c r="G190" s="7">
        <f t="shared" si="32"/>
        <v>0</v>
      </c>
      <c r="H190" s="7">
        <f t="shared" si="31"/>
        <v>0</v>
      </c>
      <c r="I190" s="8">
        <f t="shared" si="33"/>
        <v>0</v>
      </c>
      <c r="J190" s="8">
        <f t="shared" si="37"/>
        <v>0</v>
      </c>
      <c r="K190" s="127">
        <v>1897000</v>
      </c>
      <c r="L190" s="55">
        <f t="shared" si="35"/>
        <v>-1897000</v>
      </c>
      <c r="M190" s="58">
        <f t="shared" si="36"/>
        <v>0</v>
      </c>
    </row>
    <row r="191" spans="1:13" s="10" customFormat="1" ht="39.75" customHeight="1">
      <c r="A191" s="9">
        <v>1100</v>
      </c>
      <c r="B191" s="39" t="s">
        <v>126</v>
      </c>
      <c r="C191" s="98">
        <v>13027</v>
      </c>
      <c r="D191" s="98">
        <v>13027</v>
      </c>
      <c r="E191" s="98">
        <v>11941.42</v>
      </c>
      <c r="F191" s="98">
        <v>354</v>
      </c>
      <c r="G191" s="7">
        <f t="shared" si="32"/>
        <v>2.9644715620085385</v>
      </c>
      <c r="H191" s="7">
        <f t="shared" si="31"/>
        <v>2.717433023719966</v>
      </c>
      <c r="I191" s="8">
        <f t="shared" si="33"/>
        <v>-11587.42</v>
      </c>
      <c r="J191" s="8">
        <f t="shared" si="37"/>
        <v>-12673</v>
      </c>
      <c r="K191" s="127">
        <v>7354</v>
      </c>
      <c r="L191" s="55">
        <f t="shared" si="35"/>
        <v>-7000</v>
      </c>
      <c r="M191" s="58">
        <f t="shared" si="36"/>
        <v>4.813706826217025</v>
      </c>
    </row>
    <row r="192" spans="1:13" s="10" customFormat="1" ht="24" customHeight="1">
      <c r="A192" s="9">
        <v>1170</v>
      </c>
      <c r="B192" s="39" t="s">
        <v>227</v>
      </c>
      <c r="C192" s="98"/>
      <c r="D192" s="98"/>
      <c r="E192" s="98"/>
      <c r="F192" s="98"/>
      <c r="G192" s="7">
        <f t="shared" si="32"/>
        <v>0</v>
      </c>
      <c r="H192" s="7">
        <f t="shared" si="31"/>
        <v>0</v>
      </c>
      <c r="I192" s="8">
        <f t="shared" si="33"/>
        <v>0</v>
      </c>
      <c r="J192" s="8">
        <f t="shared" si="37"/>
        <v>0</v>
      </c>
      <c r="K192" s="127">
        <v>299000</v>
      </c>
      <c r="L192" s="55">
        <f>F192-K192</f>
        <v>-299000</v>
      </c>
      <c r="M192" s="58">
        <f t="shared" si="36"/>
        <v>0</v>
      </c>
    </row>
    <row r="193" spans="1:13" s="32" customFormat="1" ht="20.25" customHeight="1">
      <c r="A193" s="37" t="s">
        <v>68</v>
      </c>
      <c r="B193" s="16" t="s">
        <v>8</v>
      </c>
      <c r="C193" s="97">
        <f>C194+C195</f>
        <v>10000</v>
      </c>
      <c r="D193" s="97">
        <f>D194+D195</f>
        <v>286488</v>
      </c>
      <c r="E193" s="97">
        <f>E194+E195</f>
        <v>285654.67</v>
      </c>
      <c r="F193" s="97">
        <f>F194+F195</f>
        <v>272080</v>
      </c>
      <c r="G193" s="46">
        <f t="shared" si="32"/>
        <v>95.24787394513802</v>
      </c>
      <c r="H193" s="46">
        <f t="shared" si="31"/>
        <v>94.97081902208818</v>
      </c>
      <c r="I193" s="30">
        <f t="shared" si="33"/>
        <v>-13574.669999999984</v>
      </c>
      <c r="J193" s="30">
        <f t="shared" si="37"/>
        <v>-14408</v>
      </c>
      <c r="K193" s="118">
        <f>K194+K195</f>
        <v>83058.85</v>
      </c>
      <c r="L193" s="119">
        <f t="shared" si="35"/>
        <v>189021.15</v>
      </c>
      <c r="M193" s="120">
        <f t="shared" si="36"/>
        <v>327.57496642440873</v>
      </c>
    </row>
    <row r="194" spans="1:13" s="10" customFormat="1" ht="20.25" customHeight="1">
      <c r="A194" s="38" t="s">
        <v>69</v>
      </c>
      <c r="B194" s="17" t="s">
        <v>70</v>
      </c>
      <c r="C194" s="98">
        <v>10000</v>
      </c>
      <c r="D194" s="98">
        <v>10000</v>
      </c>
      <c r="E194" s="98">
        <v>9166.67</v>
      </c>
      <c r="F194" s="98">
        <v>0</v>
      </c>
      <c r="G194" s="7">
        <f t="shared" si="32"/>
        <v>0</v>
      </c>
      <c r="H194" s="7">
        <f t="shared" si="31"/>
        <v>0</v>
      </c>
      <c r="I194" s="8">
        <f t="shared" si="33"/>
        <v>-9166.67</v>
      </c>
      <c r="J194" s="8">
        <f t="shared" si="37"/>
        <v>-10000</v>
      </c>
      <c r="K194" s="127">
        <v>83058.85</v>
      </c>
      <c r="L194" s="55">
        <f t="shared" si="35"/>
        <v>-83058.85</v>
      </c>
      <c r="M194" s="58">
        <f t="shared" si="36"/>
        <v>0</v>
      </c>
    </row>
    <row r="195" spans="1:13" s="10" customFormat="1" ht="42.75" customHeight="1">
      <c r="A195" s="38" t="s">
        <v>132</v>
      </c>
      <c r="B195" s="17" t="s">
        <v>133</v>
      </c>
      <c r="C195" s="98"/>
      <c r="D195" s="98">
        <v>276488</v>
      </c>
      <c r="E195" s="98">
        <v>276488</v>
      </c>
      <c r="F195" s="98">
        <v>272080</v>
      </c>
      <c r="G195" s="7">
        <f t="shared" si="32"/>
        <v>98.40571742715778</v>
      </c>
      <c r="H195" s="7">
        <f t="shared" si="31"/>
        <v>98.40571742715778</v>
      </c>
      <c r="I195" s="8">
        <f t="shared" si="33"/>
        <v>-4408</v>
      </c>
      <c r="J195" s="8">
        <f t="shared" si="37"/>
        <v>-4408</v>
      </c>
      <c r="K195" s="127"/>
      <c r="L195" s="55">
        <f t="shared" si="35"/>
        <v>0</v>
      </c>
      <c r="M195" s="58">
        <f t="shared" si="36"/>
        <v>0</v>
      </c>
    </row>
    <row r="196" spans="1:13" s="32" customFormat="1" ht="24" customHeight="1">
      <c r="A196" s="37" t="s">
        <v>71</v>
      </c>
      <c r="B196" s="16" t="s">
        <v>9</v>
      </c>
      <c r="C196" s="97">
        <f>C197</f>
        <v>0</v>
      </c>
      <c r="D196" s="97">
        <f>D197</f>
        <v>0</v>
      </c>
      <c r="E196" s="97">
        <f>E197</f>
        <v>0</v>
      </c>
      <c r="F196" s="97">
        <f>F197</f>
        <v>39476.86</v>
      </c>
      <c r="G196" s="46">
        <f t="shared" si="32"/>
        <v>0</v>
      </c>
      <c r="H196" s="46">
        <f t="shared" si="31"/>
        <v>0</v>
      </c>
      <c r="I196" s="30">
        <f t="shared" si="33"/>
        <v>39476.86</v>
      </c>
      <c r="J196" s="30">
        <f t="shared" si="37"/>
        <v>39476.86</v>
      </c>
      <c r="K196" s="118">
        <f>K197</f>
        <v>98575.02</v>
      </c>
      <c r="L196" s="119">
        <f t="shared" si="35"/>
        <v>-59098.16</v>
      </c>
      <c r="M196" s="120">
        <f t="shared" si="36"/>
        <v>40.04752928277367</v>
      </c>
    </row>
    <row r="197" spans="1:13" s="10" customFormat="1" ht="21.75" customHeight="1">
      <c r="A197" s="38" t="s">
        <v>138</v>
      </c>
      <c r="B197" s="17" t="s">
        <v>139</v>
      </c>
      <c r="C197" s="98"/>
      <c r="D197" s="98"/>
      <c r="E197" s="98"/>
      <c r="F197" s="98">
        <v>39476.86</v>
      </c>
      <c r="G197" s="7">
        <f t="shared" si="32"/>
        <v>0</v>
      </c>
      <c r="H197" s="7">
        <f t="shared" si="31"/>
        <v>0</v>
      </c>
      <c r="I197" s="8"/>
      <c r="J197" s="8">
        <f t="shared" si="37"/>
        <v>39476.86</v>
      </c>
      <c r="K197" s="127">
        <v>98575.02</v>
      </c>
      <c r="L197" s="55">
        <f t="shared" si="35"/>
        <v>-59098.16</v>
      </c>
      <c r="M197" s="58">
        <f t="shared" si="36"/>
        <v>40.04752928277367</v>
      </c>
    </row>
    <row r="198" spans="1:13" s="32" customFormat="1" ht="21" customHeight="1">
      <c r="A198" s="37" t="s">
        <v>72</v>
      </c>
      <c r="B198" s="16" t="s">
        <v>10</v>
      </c>
      <c r="C198" s="97">
        <f>C199</f>
        <v>0</v>
      </c>
      <c r="D198" s="97">
        <f>D199</f>
        <v>334012</v>
      </c>
      <c r="E198" s="97">
        <f>E199</f>
        <v>334012</v>
      </c>
      <c r="F198" s="97">
        <f>F199</f>
        <v>348351.55</v>
      </c>
      <c r="G198" s="46">
        <f t="shared" si="32"/>
        <v>104.29312419913057</v>
      </c>
      <c r="H198" s="46">
        <f aca="true" t="shared" si="38" ref="H198:H225">IF(D198=0,0,F198/D198%)</f>
        <v>104.29312419913057</v>
      </c>
      <c r="I198" s="30">
        <f t="shared" si="33"/>
        <v>14339.549999999988</v>
      </c>
      <c r="J198" s="30">
        <f t="shared" si="37"/>
        <v>14339.549999999988</v>
      </c>
      <c r="K198" s="118">
        <f>K199</f>
        <v>91993</v>
      </c>
      <c r="L198" s="119">
        <f t="shared" si="35"/>
        <v>256358.55</v>
      </c>
      <c r="M198" s="120">
        <f t="shared" si="36"/>
        <v>378.67180111530223</v>
      </c>
    </row>
    <row r="199" spans="1:13" s="10" customFormat="1" ht="39.75" customHeight="1">
      <c r="A199" s="38" t="s">
        <v>74</v>
      </c>
      <c r="B199" s="17" t="s">
        <v>145</v>
      </c>
      <c r="C199" s="98"/>
      <c r="D199" s="98">
        <v>334012</v>
      </c>
      <c r="E199" s="98">
        <v>334012</v>
      </c>
      <c r="F199" s="98">
        <v>348351.55</v>
      </c>
      <c r="G199" s="7">
        <f t="shared" si="32"/>
        <v>104.29312419913057</v>
      </c>
      <c r="H199" s="7">
        <f t="shared" si="38"/>
        <v>104.29312419913057</v>
      </c>
      <c r="I199" s="8">
        <f t="shared" si="33"/>
        <v>14339.549999999988</v>
      </c>
      <c r="J199" s="8">
        <f t="shared" si="37"/>
        <v>14339.549999999988</v>
      </c>
      <c r="K199" s="127">
        <v>91993</v>
      </c>
      <c r="L199" s="55">
        <f t="shared" si="35"/>
        <v>256358.55</v>
      </c>
      <c r="M199" s="58">
        <f t="shared" si="36"/>
        <v>378.67180111530223</v>
      </c>
    </row>
    <row r="200" spans="1:13" s="32" customFormat="1" ht="39.75" customHeight="1">
      <c r="A200" s="37" t="s">
        <v>75</v>
      </c>
      <c r="B200" s="19" t="s">
        <v>23</v>
      </c>
      <c r="C200" s="97">
        <f>C201</f>
        <v>0</v>
      </c>
      <c r="D200" s="97">
        <f>D201</f>
        <v>76090</v>
      </c>
      <c r="E200" s="97">
        <f>E201</f>
        <v>76090</v>
      </c>
      <c r="F200" s="97">
        <f>F201</f>
        <v>80095</v>
      </c>
      <c r="G200" s="46">
        <f t="shared" si="32"/>
        <v>105.26350374556446</v>
      </c>
      <c r="H200" s="46">
        <f t="shared" si="38"/>
        <v>105.26350374556446</v>
      </c>
      <c r="I200" s="30">
        <f t="shared" si="33"/>
        <v>4005</v>
      </c>
      <c r="J200" s="30">
        <f t="shared" si="37"/>
        <v>4005</v>
      </c>
      <c r="K200" s="118">
        <f>K201</f>
        <v>0</v>
      </c>
      <c r="L200" s="119">
        <f t="shared" si="35"/>
        <v>0</v>
      </c>
      <c r="M200" s="120">
        <f t="shared" si="36"/>
        <v>0</v>
      </c>
    </row>
    <row r="201" spans="1:13" s="10" customFormat="1" ht="39.75" customHeight="1">
      <c r="A201" s="38" t="s">
        <v>76</v>
      </c>
      <c r="B201" s="17" t="s">
        <v>50</v>
      </c>
      <c r="C201" s="98"/>
      <c r="D201" s="98">
        <v>76090</v>
      </c>
      <c r="E201" s="98">
        <v>76090</v>
      </c>
      <c r="F201" s="98">
        <v>80095</v>
      </c>
      <c r="G201" s="7">
        <f t="shared" si="32"/>
        <v>105.26350374556446</v>
      </c>
      <c r="H201" s="7">
        <f t="shared" si="38"/>
        <v>105.26350374556446</v>
      </c>
      <c r="I201" s="8">
        <f t="shared" si="33"/>
        <v>4005</v>
      </c>
      <c r="J201" s="8">
        <f t="shared" si="37"/>
        <v>4005</v>
      </c>
      <c r="K201" s="110"/>
      <c r="L201" s="55">
        <f t="shared" si="35"/>
        <v>0</v>
      </c>
      <c r="M201" s="58">
        <f t="shared" si="36"/>
        <v>0</v>
      </c>
    </row>
    <row r="202" spans="1:13" s="138" customFormat="1" ht="24.75" customHeight="1">
      <c r="A202" s="134" t="s">
        <v>150</v>
      </c>
      <c r="B202" s="135" t="s">
        <v>261</v>
      </c>
      <c r="C202" s="97">
        <f>C203+C204+C205</f>
        <v>0</v>
      </c>
      <c r="D202" s="97">
        <f>D203+D204+D205</f>
        <v>1473550</v>
      </c>
      <c r="E202" s="97">
        <f>E203+E204+E205</f>
        <v>1465450</v>
      </c>
      <c r="F202" s="97">
        <f>F203+F204+F205</f>
        <v>1158658</v>
      </c>
      <c r="G202" s="136">
        <f t="shared" si="32"/>
        <v>79.06499709986693</v>
      </c>
      <c r="H202" s="136">
        <f t="shared" si="38"/>
        <v>78.63038240982661</v>
      </c>
      <c r="I202" s="59">
        <f t="shared" si="33"/>
        <v>-306792</v>
      </c>
      <c r="J202" s="59">
        <f t="shared" si="37"/>
        <v>-314892</v>
      </c>
      <c r="K202" s="118">
        <f>K203+K204+K205</f>
        <v>1485171.56</v>
      </c>
      <c r="L202" s="118">
        <f t="shared" si="35"/>
        <v>-326513.56000000006</v>
      </c>
      <c r="M202" s="137">
        <f t="shared" si="36"/>
        <v>78.01509476790682</v>
      </c>
    </row>
    <row r="203" spans="1:13" s="10" customFormat="1" ht="25.5" customHeight="1">
      <c r="A203" s="38" t="s">
        <v>152</v>
      </c>
      <c r="B203" s="17" t="s">
        <v>155</v>
      </c>
      <c r="C203" s="98"/>
      <c r="D203" s="98">
        <v>150000</v>
      </c>
      <c r="E203" s="98">
        <v>150000</v>
      </c>
      <c r="F203" s="98"/>
      <c r="G203" s="7"/>
      <c r="H203" s="7"/>
      <c r="I203" s="8"/>
      <c r="J203" s="8"/>
      <c r="K203" s="110"/>
      <c r="L203" s="55"/>
      <c r="M203" s="58"/>
    </row>
    <row r="204" spans="1:13" s="10" customFormat="1" ht="25.5" customHeight="1">
      <c r="A204" s="38" t="s">
        <v>153</v>
      </c>
      <c r="B204" s="25" t="s">
        <v>156</v>
      </c>
      <c r="C204" s="98"/>
      <c r="D204" s="98">
        <v>1323550</v>
      </c>
      <c r="E204" s="98">
        <v>1315450</v>
      </c>
      <c r="F204" s="98">
        <v>1158658</v>
      </c>
      <c r="G204" s="7">
        <f t="shared" si="32"/>
        <v>88.0807328290699</v>
      </c>
      <c r="H204" s="7">
        <f t="shared" si="38"/>
        <v>87.54168712931133</v>
      </c>
      <c r="I204" s="8">
        <f t="shared" si="33"/>
        <v>-156792</v>
      </c>
      <c r="J204" s="8">
        <f t="shared" si="37"/>
        <v>-164892</v>
      </c>
      <c r="K204" s="127">
        <v>1485171.56</v>
      </c>
      <c r="L204" s="55">
        <f t="shared" si="35"/>
        <v>-326513.56000000006</v>
      </c>
      <c r="M204" s="58">
        <f t="shared" si="36"/>
        <v>78.01509476790682</v>
      </c>
    </row>
    <row r="205" spans="1:13" s="10" customFormat="1" ht="73.5" customHeight="1" hidden="1">
      <c r="A205" s="38" t="s">
        <v>206</v>
      </c>
      <c r="B205" s="17" t="s">
        <v>207</v>
      </c>
      <c r="C205" s="98"/>
      <c r="D205" s="98"/>
      <c r="E205" s="98"/>
      <c r="F205" s="98"/>
      <c r="G205" s="7">
        <f t="shared" si="32"/>
        <v>0</v>
      </c>
      <c r="H205" s="7">
        <f t="shared" si="38"/>
        <v>0</v>
      </c>
      <c r="I205" s="8">
        <f t="shared" si="33"/>
        <v>0</v>
      </c>
      <c r="J205" s="8">
        <f t="shared" si="37"/>
        <v>0</v>
      </c>
      <c r="K205" s="110"/>
      <c r="L205" s="55">
        <f t="shared" si="35"/>
        <v>0</v>
      </c>
      <c r="M205" s="58">
        <f t="shared" si="36"/>
        <v>0</v>
      </c>
    </row>
    <row r="206" spans="1:13" s="32" customFormat="1" ht="30.75" customHeight="1">
      <c r="A206" s="37" t="s">
        <v>158</v>
      </c>
      <c r="B206" s="26" t="s">
        <v>159</v>
      </c>
      <c r="C206" s="97">
        <f>C214+C218+C221+C209+C217+C211+C207+C213+C219+C220+C212+C210+C208</f>
        <v>18000</v>
      </c>
      <c r="D206" s="97">
        <f>D214+D218+D221+D209+D217+D211+D207+D213+D219+D220+D212+D210+D208</f>
        <v>2314883</v>
      </c>
      <c r="E206" s="97">
        <f>E214+E218+E221+E209+E217+E211+E207+E213+E219+E220+E212+E210+E208</f>
        <v>1838621</v>
      </c>
      <c r="F206" s="97">
        <f>F214+F218+F221+F209+F217+F211+F207+F213+F219+F220+F212+F210+F208</f>
        <v>1684579.75</v>
      </c>
      <c r="G206" s="46">
        <f t="shared" si="32"/>
        <v>91.62191392353292</v>
      </c>
      <c r="H206" s="46">
        <f t="shared" si="38"/>
        <v>72.77170163675659</v>
      </c>
      <c r="I206" s="30">
        <f t="shared" si="33"/>
        <v>-154041.25</v>
      </c>
      <c r="J206" s="30">
        <f t="shared" si="37"/>
        <v>-630303.25</v>
      </c>
      <c r="K206" s="118">
        <f>K207+K209+K210+K211+K212+K213+K214+K217+K218+K219+K220+K221+K208</f>
        <v>6658721</v>
      </c>
      <c r="L206" s="119">
        <f>F206-K206</f>
        <v>-4974141.25</v>
      </c>
      <c r="M206" s="120">
        <f t="shared" si="36"/>
        <v>25.2988486828026</v>
      </c>
    </row>
    <row r="207" spans="1:13" s="10" customFormat="1" ht="38.25" customHeight="1">
      <c r="A207" s="38" t="s">
        <v>208</v>
      </c>
      <c r="B207" s="25" t="s">
        <v>209</v>
      </c>
      <c r="C207" s="98"/>
      <c r="D207" s="98">
        <v>25000</v>
      </c>
      <c r="E207" s="98">
        <v>25000</v>
      </c>
      <c r="F207" s="98">
        <v>20100</v>
      </c>
      <c r="G207" s="7">
        <f t="shared" si="32"/>
        <v>80.4</v>
      </c>
      <c r="H207" s="7">
        <f t="shared" si="38"/>
        <v>80.4</v>
      </c>
      <c r="I207" s="8">
        <f t="shared" si="33"/>
        <v>-4900</v>
      </c>
      <c r="J207" s="8">
        <f t="shared" si="37"/>
        <v>-4900</v>
      </c>
      <c r="K207" s="127">
        <v>15969</v>
      </c>
      <c r="L207" s="55">
        <f t="shared" si="35"/>
        <v>4131</v>
      </c>
      <c r="M207" s="58">
        <f t="shared" si="36"/>
        <v>125.8688709374413</v>
      </c>
    </row>
    <row r="208" spans="1:13" s="10" customFormat="1" ht="38.25" customHeight="1">
      <c r="A208" s="38" t="s">
        <v>253</v>
      </c>
      <c r="B208" s="25" t="s">
        <v>254</v>
      </c>
      <c r="C208" s="98"/>
      <c r="D208" s="98">
        <v>116000</v>
      </c>
      <c r="E208" s="98">
        <v>116000</v>
      </c>
      <c r="F208" s="98">
        <v>61688.75</v>
      </c>
      <c r="G208" s="7"/>
      <c r="H208" s="7"/>
      <c r="I208" s="8"/>
      <c r="J208" s="8"/>
      <c r="K208" s="110"/>
      <c r="L208" s="55"/>
      <c r="M208" s="58"/>
    </row>
    <row r="209" spans="1:13" s="10" customFormat="1" ht="38.25" customHeight="1" hidden="1">
      <c r="A209" s="38" t="s">
        <v>196</v>
      </c>
      <c r="B209" s="25" t="s">
        <v>197</v>
      </c>
      <c r="C209" s="98"/>
      <c r="D209" s="98"/>
      <c r="E209" s="98"/>
      <c r="F209" s="98"/>
      <c r="G209" s="7">
        <f t="shared" si="32"/>
        <v>0</v>
      </c>
      <c r="H209" s="7">
        <f t="shared" si="38"/>
        <v>0</v>
      </c>
      <c r="I209" s="8">
        <f t="shared" si="33"/>
        <v>0</v>
      </c>
      <c r="J209" s="8">
        <f t="shared" si="37"/>
        <v>0</v>
      </c>
      <c r="K209" s="110"/>
      <c r="L209" s="55">
        <f t="shared" si="35"/>
        <v>0</v>
      </c>
      <c r="M209" s="58">
        <f t="shared" si="36"/>
        <v>0</v>
      </c>
    </row>
    <row r="210" spans="1:13" s="10" customFormat="1" ht="38.25" customHeight="1" hidden="1">
      <c r="A210" s="38" t="s">
        <v>234</v>
      </c>
      <c r="B210" s="17" t="s">
        <v>235</v>
      </c>
      <c r="C210" s="98"/>
      <c r="D210" s="98"/>
      <c r="E210" s="98"/>
      <c r="F210" s="98"/>
      <c r="G210" s="7">
        <f t="shared" si="32"/>
        <v>0</v>
      </c>
      <c r="H210" s="7">
        <f t="shared" si="38"/>
        <v>0</v>
      </c>
      <c r="I210" s="8">
        <f t="shared" si="33"/>
        <v>0</v>
      </c>
      <c r="J210" s="8">
        <f t="shared" si="37"/>
        <v>0</v>
      </c>
      <c r="K210" s="110"/>
      <c r="L210" s="55">
        <f t="shared" si="35"/>
        <v>0</v>
      </c>
      <c r="M210" s="58">
        <f t="shared" si="36"/>
        <v>0</v>
      </c>
    </row>
    <row r="211" spans="1:13" s="10" customFormat="1" ht="38.25" customHeight="1">
      <c r="A211" s="38" t="s">
        <v>201</v>
      </c>
      <c r="B211" s="17" t="s">
        <v>202</v>
      </c>
      <c r="C211" s="98"/>
      <c r="D211" s="98"/>
      <c r="E211" s="98"/>
      <c r="F211" s="98"/>
      <c r="G211" s="7">
        <f t="shared" si="32"/>
        <v>0</v>
      </c>
      <c r="H211" s="7">
        <f t="shared" si="38"/>
        <v>0</v>
      </c>
      <c r="I211" s="8">
        <f t="shared" si="33"/>
        <v>0</v>
      </c>
      <c r="J211" s="8">
        <f t="shared" si="37"/>
        <v>0</v>
      </c>
      <c r="K211" s="127">
        <v>1299000</v>
      </c>
      <c r="L211" s="55">
        <f t="shared" si="35"/>
        <v>-1299000</v>
      </c>
      <c r="M211" s="58">
        <f t="shared" si="36"/>
        <v>0</v>
      </c>
    </row>
    <row r="212" spans="1:13" s="10" customFormat="1" ht="38.25" customHeight="1" hidden="1">
      <c r="A212" s="38" t="s">
        <v>218</v>
      </c>
      <c r="B212" s="17" t="s">
        <v>219</v>
      </c>
      <c r="C212" s="98"/>
      <c r="D212" s="98"/>
      <c r="E212" s="98"/>
      <c r="F212" s="98"/>
      <c r="G212" s="7">
        <f t="shared" si="32"/>
        <v>0</v>
      </c>
      <c r="H212" s="7">
        <f t="shared" si="38"/>
        <v>0</v>
      </c>
      <c r="I212" s="8">
        <f t="shared" si="33"/>
        <v>0</v>
      </c>
      <c r="J212" s="8">
        <f t="shared" si="37"/>
        <v>0</v>
      </c>
      <c r="K212" s="110"/>
      <c r="L212" s="55">
        <f t="shared" si="35"/>
        <v>0</v>
      </c>
      <c r="M212" s="58">
        <f t="shared" si="36"/>
        <v>0</v>
      </c>
    </row>
    <row r="213" spans="1:13" s="10" customFormat="1" ht="96" customHeight="1">
      <c r="A213" s="38" t="s">
        <v>210</v>
      </c>
      <c r="B213" s="17" t="s">
        <v>211</v>
      </c>
      <c r="C213" s="98"/>
      <c r="D213" s="98"/>
      <c r="E213" s="98"/>
      <c r="F213" s="98"/>
      <c r="G213" s="7">
        <f t="shared" si="32"/>
        <v>0</v>
      </c>
      <c r="H213" s="7">
        <f t="shared" si="38"/>
        <v>0</v>
      </c>
      <c r="I213" s="8">
        <f t="shared" si="33"/>
        <v>0</v>
      </c>
      <c r="J213" s="8">
        <f t="shared" si="37"/>
        <v>0</v>
      </c>
      <c r="K213" s="127">
        <v>4008331</v>
      </c>
      <c r="L213" s="55">
        <f t="shared" si="35"/>
        <v>-4008331</v>
      </c>
      <c r="M213" s="58">
        <f t="shared" si="36"/>
        <v>0</v>
      </c>
    </row>
    <row r="214" spans="1:13" s="10" customFormat="1" ht="42.75" customHeight="1" hidden="1">
      <c r="A214" s="38" t="s">
        <v>160</v>
      </c>
      <c r="B214" s="45" t="s">
        <v>164</v>
      </c>
      <c r="C214" s="98"/>
      <c r="D214" s="98"/>
      <c r="E214" s="98"/>
      <c r="F214" s="98"/>
      <c r="G214" s="7">
        <f t="shared" si="32"/>
        <v>0</v>
      </c>
      <c r="H214" s="7">
        <f t="shared" si="38"/>
        <v>0</v>
      </c>
      <c r="I214" s="8">
        <f t="shared" si="33"/>
        <v>0</v>
      </c>
      <c r="J214" s="8">
        <f t="shared" si="37"/>
        <v>0</v>
      </c>
      <c r="K214" s="110"/>
      <c r="L214" s="55">
        <f t="shared" si="35"/>
        <v>0</v>
      </c>
      <c r="M214" s="58">
        <f t="shared" si="36"/>
        <v>0</v>
      </c>
    </row>
    <row r="215" spans="1:13" s="10" customFormat="1" ht="46.5" customHeight="1" hidden="1">
      <c r="A215" s="38" t="s">
        <v>54</v>
      </c>
      <c r="B215" s="18" t="s">
        <v>52</v>
      </c>
      <c r="C215" s="98"/>
      <c r="D215" s="98"/>
      <c r="E215" s="98"/>
      <c r="F215" s="98"/>
      <c r="G215" s="7">
        <f t="shared" si="32"/>
        <v>0</v>
      </c>
      <c r="H215" s="7">
        <f t="shared" si="38"/>
        <v>0</v>
      </c>
      <c r="I215" s="8">
        <f t="shared" si="33"/>
        <v>0</v>
      </c>
      <c r="J215" s="8">
        <f t="shared" si="37"/>
        <v>0</v>
      </c>
      <c r="K215" s="110"/>
      <c r="L215" s="55">
        <f t="shared" si="35"/>
        <v>0</v>
      </c>
      <c r="M215" s="58">
        <f t="shared" si="36"/>
        <v>0</v>
      </c>
    </row>
    <row r="216" spans="1:13" s="10" customFormat="1" ht="17.25" customHeight="1" hidden="1">
      <c r="A216" s="38" t="s">
        <v>27</v>
      </c>
      <c r="B216" s="18" t="s">
        <v>24</v>
      </c>
      <c r="C216" s="98"/>
      <c r="D216" s="98"/>
      <c r="E216" s="98"/>
      <c r="F216" s="98"/>
      <c r="G216" s="7">
        <f t="shared" si="32"/>
        <v>0</v>
      </c>
      <c r="H216" s="7">
        <f t="shared" si="38"/>
        <v>0</v>
      </c>
      <c r="I216" s="8">
        <f t="shared" si="33"/>
        <v>0</v>
      </c>
      <c r="J216" s="8">
        <f t="shared" si="37"/>
        <v>0</v>
      </c>
      <c r="K216" s="110"/>
      <c r="L216" s="55">
        <f t="shared" si="35"/>
        <v>0</v>
      </c>
      <c r="M216" s="58">
        <f t="shared" si="36"/>
        <v>0</v>
      </c>
    </row>
    <row r="217" spans="1:13" s="10" customFormat="1" ht="30.75" customHeight="1">
      <c r="A217" s="38" t="s">
        <v>161</v>
      </c>
      <c r="B217" s="18" t="s">
        <v>165</v>
      </c>
      <c r="C217" s="98"/>
      <c r="D217" s="98">
        <v>9100</v>
      </c>
      <c r="E217" s="98">
        <v>9100</v>
      </c>
      <c r="F217" s="98">
        <v>9000</v>
      </c>
      <c r="G217" s="7">
        <f t="shared" si="32"/>
        <v>98.9010989010989</v>
      </c>
      <c r="H217" s="7">
        <f t="shared" si="38"/>
        <v>98.9010989010989</v>
      </c>
      <c r="I217" s="8">
        <f t="shared" si="33"/>
        <v>-100</v>
      </c>
      <c r="J217" s="8">
        <f t="shared" si="37"/>
        <v>-100</v>
      </c>
      <c r="K217" s="127">
        <v>54691</v>
      </c>
      <c r="L217" s="55">
        <f>F217-K217</f>
        <v>-45691</v>
      </c>
      <c r="M217" s="58">
        <f t="shared" si="36"/>
        <v>16.456089667404143</v>
      </c>
    </row>
    <row r="218" spans="1:13" s="10" customFormat="1" ht="30.75" customHeight="1" hidden="1">
      <c r="A218" s="38" t="s">
        <v>162</v>
      </c>
      <c r="B218" s="17" t="s">
        <v>166</v>
      </c>
      <c r="C218" s="98"/>
      <c r="D218" s="98"/>
      <c r="E218" s="98"/>
      <c r="F218" s="98"/>
      <c r="G218" s="7">
        <f t="shared" si="32"/>
        <v>0</v>
      </c>
      <c r="H218" s="7">
        <f t="shared" si="38"/>
        <v>0</v>
      </c>
      <c r="I218" s="8">
        <f t="shared" si="33"/>
        <v>0</v>
      </c>
      <c r="J218" s="8">
        <f t="shared" si="37"/>
        <v>0</v>
      </c>
      <c r="K218" s="110"/>
      <c r="L218" s="55">
        <f t="shared" si="35"/>
        <v>0</v>
      </c>
      <c r="M218" s="58">
        <f t="shared" si="36"/>
        <v>0</v>
      </c>
    </row>
    <row r="219" spans="1:13" s="10" customFormat="1" ht="40.5" customHeight="1">
      <c r="A219" s="38" t="s">
        <v>212</v>
      </c>
      <c r="B219" s="17" t="s">
        <v>214</v>
      </c>
      <c r="C219" s="98"/>
      <c r="D219" s="98">
        <v>1350000</v>
      </c>
      <c r="E219" s="98">
        <v>1350000</v>
      </c>
      <c r="F219" s="98">
        <v>1294298</v>
      </c>
      <c r="G219" s="7">
        <f t="shared" si="32"/>
        <v>95.87392592592593</v>
      </c>
      <c r="H219" s="7">
        <f t="shared" si="38"/>
        <v>95.87392592592593</v>
      </c>
      <c r="I219" s="8">
        <f t="shared" si="33"/>
        <v>-55702</v>
      </c>
      <c r="J219" s="8">
        <f t="shared" si="37"/>
        <v>-55702</v>
      </c>
      <c r="K219" s="127">
        <v>1280730</v>
      </c>
      <c r="L219" s="55">
        <f t="shared" si="35"/>
        <v>13568</v>
      </c>
      <c r="M219" s="58">
        <f t="shared" si="36"/>
        <v>101.05939581332521</v>
      </c>
    </row>
    <row r="220" spans="1:13" s="10" customFormat="1" ht="54.75" customHeight="1">
      <c r="A220" s="38" t="s">
        <v>213</v>
      </c>
      <c r="B220" s="17" t="s">
        <v>256</v>
      </c>
      <c r="C220" s="98"/>
      <c r="D220" s="98">
        <v>796783</v>
      </c>
      <c r="E220" s="98">
        <v>320521</v>
      </c>
      <c r="F220" s="98">
        <v>299493</v>
      </c>
      <c r="G220" s="7">
        <f t="shared" si="32"/>
        <v>93.43943142571001</v>
      </c>
      <c r="H220" s="7">
        <f t="shared" si="38"/>
        <v>37.58777483957363</v>
      </c>
      <c r="I220" s="8">
        <f t="shared" si="33"/>
        <v>-21028</v>
      </c>
      <c r="J220" s="8">
        <f t="shared" si="37"/>
        <v>-497290</v>
      </c>
      <c r="K220" s="110"/>
      <c r="L220" s="55">
        <f t="shared" si="35"/>
        <v>0</v>
      </c>
      <c r="M220" s="58">
        <f t="shared" si="36"/>
        <v>0</v>
      </c>
    </row>
    <row r="221" spans="1:13" s="10" customFormat="1" ht="97.5" customHeight="1">
      <c r="A221" s="38" t="s">
        <v>163</v>
      </c>
      <c r="B221" s="17" t="s">
        <v>167</v>
      </c>
      <c r="C221" s="98">
        <v>18000</v>
      </c>
      <c r="D221" s="98">
        <v>18000</v>
      </c>
      <c r="E221" s="98">
        <v>18000</v>
      </c>
      <c r="F221" s="98"/>
      <c r="G221" s="7">
        <f t="shared" si="32"/>
        <v>0</v>
      </c>
      <c r="H221" s="7">
        <f t="shared" si="38"/>
        <v>0</v>
      </c>
      <c r="I221" s="8">
        <f t="shared" si="33"/>
        <v>-18000</v>
      </c>
      <c r="J221" s="8">
        <f t="shared" si="37"/>
        <v>-18000</v>
      </c>
      <c r="K221" s="110"/>
      <c r="L221" s="55">
        <f t="shared" si="35"/>
        <v>0</v>
      </c>
      <c r="M221" s="58">
        <f t="shared" si="36"/>
        <v>0</v>
      </c>
    </row>
    <row r="222" spans="1:13" s="10" customFormat="1" ht="26.25" customHeight="1">
      <c r="A222" s="38" t="s">
        <v>172</v>
      </c>
      <c r="B222" s="17" t="s">
        <v>173</v>
      </c>
      <c r="C222" s="98">
        <v>70000</v>
      </c>
      <c r="D222" s="98">
        <v>88000</v>
      </c>
      <c r="E222" s="98">
        <v>88000</v>
      </c>
      <c r="F222" s="98">
        <v>49000</v>
      </c>
      <c r="G222" s="7"/>
      <c r="H222" s="7">
        <f t="shared" si="38"/>
        <v>55.68181818181818</v>
      </c>
      <c r="I222" s="8"/>
      <c r="J222" s="8">
        <f t="shared" si="37"/>
        <v>-39000</v>
      </c>
      <c r="K222" s="127">
        <v>161676</v>
      </c>
      <c r="L222" s="55">
        <f t="shared" si="35"/>
        <v>-112676</v>
      </c>
      <c r="M222" s="58">
        <f t="shared" si="36"/>
        <v>30.30752863752196</v>
      </c>
    </row>
    <row r="223" spans="1:13" s="32" customFormat="1" ht="19.5" customHeight="1">
      <c r="A223" s="37"/>
      <c r="B223" s="13" t="s">
        <v>13</v>
      </c>
      <c r="C223" s="59">
        <f>C178+C181+C193+C198+C202+C206+C222+C196+C200</f>
        <v>434127</v>
      </c>
      <c r="D223" s="59">
        <f>D178+D181+D193+D198+D202+D206+D222+D196+D200</f>
        <v>10448521</v>
      </c>
      <c r="E223" s="59">
        <f>E178+E181+E193+E198+E202+E206+E222+E196+E200</f>
        <v>9933415.09</v>
      </c>
      <c r="F223" s="59">
        <f>F178+F181+F193+F198+F202+F206+F222+F196+F200</f>
        <v>8081331.68</v>
      </c>
      <c r="G223" s="46">
        <f t="shared" si="32"/>
        <v>81.35501845820882</v>
      </c>
      <c r="H223" s="46">
        <f t="shared" si="38"/>
        <v>77.34426413077985</v>
      </c>
      <c r="I223" s="30">
        <f>F223-E223</f>
        <v>-1852083.4100000001</v>
      </c>
      <c r="J223" s="30">
        <f t="shared" si="37"/>
        <v>-2367189.3200000003</v>
      </c>
      <c r="K223" s="118">
        <f>K222+K206+K202+K196+K193+K181+K178+K198</f>
        <v>18291384.05</v>
      </c>
      <c r="L223" s="119">
        <f t="shared" si="35"/>
        <v>-10210052.370000001</v>
      </c>
      <c r="M223" s="120">
        <f t="shared" si="36"/>
        <v>44.18108360695646</v>
      </c>
    </row>
    <row r="224" spans="1:13" s="10" customFormat="1" ht="19.5" customHeight="1">
      <c r="A224" s="38"/>
      <c r="B224" s="13" t="s">
        <v>182</v>
      </c>
      <c r="C224" s="59"/>
      <c r="D224" s="59"/>
      <c r="E224" s="59"/>
      <c r="F224" s="59"/>
      <c r="G224" s="7"/>
      <c r="H224" s="7"/>
      <c r="I224" s="30"/>
      <c r="J224" s="30"/>
      <c r="K224" s="110"/>
      <c r="L224" s="55">
        <f t="shared" si="35"/>
        <v>0</v>
      </c>
      <c r="M224" s="58">
        <f t="shared" si="36"/>
        <v>0</v>
      </c>
    </row>
    <row r="225" spans="1:13" s="10" customFormat="1" ht="18" customHeight="1">
      <c r="A225" s="38"/>
      <c r="B225" s="13" t="s">
        <v>14</v>
      </c>
      <c r="C225" s="59">
        <f>C174+C223</f>
        <v>71521877</v>
      </c>
      <c r="D225" s="59">
        <f>D174+D223+D224</f>
        <v>82466469</v>
      </c>
      <c r="E225" s="59">
        <f>E174+E223+E224</f>
        <v>74468431.09</v>
      </c>
      <c r="F225" s="59">
        <f>F174+F223</f>
        <v>64676632.99</v>
      </c>
      <c r="G225" s="7">
        <f t="shared" si="32"/>
        <v>86.8510750707693</v>
      </c>
      <c r="H225" s="7">
        <f t="shared" si="38"/>
        <v>78.42779468343674</v>
      </c>
      <c r="I225" s="30">
        <f>F225-E225</f>
        <v>-9791798.100000001</v>
      </c>
      <c r="J225" s="30">
        <f>F225-D225</f>
        <v>-17789836.009999998</v>
      </c>
      <c r="K225" s="59">
        <f>K223+K174</f>
        <v>74959937.25999999</v>
      </c>
      <c r="L225" s="55">
        <f t="shared" si="35"/>
        <v>-10283304.269999988</v>
      </c>
      <c r="M225" s="58">
        <f t="shared" si="36"/>
        <v>86.2815996839323</v>
      </c>
    </row>
    <row r="226" spans="1:13" s="10" customFormat="1" ht="18.75" customHeight="1">
      <c r="A226" s="38"/>
      <c r="B226" s="18" t="s">
        <v>15</v>
      </c>
      <c r="C226" s="60">
        <f>C121-C225</f>
        <v>0</v>
      </c>
      <c r="D226" s="60">
        <f>D121-D225</f>
        <v>-6158678</v>
      </c>
      <c r="E226" s="60">
        <f>E121-E225</f>
        <v>-6158678.090000004</v>
      </c>
      <c r="F226" s="60">
        <f>F121-F225</f>
        <v>6164916.979999997</v>
      </c>
      <c r="G226" s="46">
        <f>F226/E226%</f>
        <v>-100.10130242089002</v>
      </c>
      <c r="H226" s="46">
        <f>F226/D226%</f>
        <v>-100.10130388372305</v>
      </c>
      <c r="I226" s="30"/>
      <c r="J226" s="30"/>
      <c r="K226" s="110">
        <f>K121-K225</f>
        <v>2502778.780000001</v>
      </c>
      <c r="L226" s="54">
        <f>F226-K226</f>
        <v>3662138.1999999955</v>
      </c>
      <c r="M226" s="51"/>
    </row>
    <row r="227" spans="1:11" s="10" customFormat="1" ht="15" customHeight="1">
      <c r="A227" s="47"/>
      <c r="B227" s="48"/>
      <c r="C227" s="100"/>
      <c r="D227" s="100"/>
      <c r="E227" s="143"/>
      <c r="F227" s="100"/>
      <c r="G227" s="5"/>
      <c r="H227" s="5"/>
      <c r="I227" s="5"/>
      <c r="J227" s="5"/>
      <c r="K227" s="101"/>
    </row>
    <row r="228" spans="1:11" s="10" customFormat="1" ht="18" hidden="1">
      <c r="A228" s="47"/>
      <c r="B228" s="5"/>
      <c r="C228" s="100"/>
      <c r="D228" s="100"/>
      <c r="E228" s="143"/>
      <c r="F228" s="100" t="s">
        <v>20</v>
      </c>
      <c r="G228" s="5"/>
      <c r="H228" s="5"/>
      <c r="I228" s="5"/>
      <c r="J228" s="5"/>
      <c r="K228" s="101"/>
    </row>
    <row r="229" spans="1:11" s="10" customFormat="1" ht="18" hidden="1">
      <c r="A229" s="47"/>
      <c r="B229" s="5"/>
      <c r="C229" s="100"/>
      <c r="D229" s="100"/>
      <c r="E229" s="143"/>
      <c r="F229" s="100"/>
      <c r="G229" s="5"/>
      <c r="H229" s="5"/>
      <c r="I229" s="5"/>
      <c r="J229" s="5"/>
      <c r="K229" s="101"/>
    </row>
    <row r="230" spans="1:11" s="10" customFormat="1" ht="18">
      <c r="A230" s="47"/>
      <c r="B230" s="5"/>
      <c r="C230" s="101"/>
      <c r="D230" s="101"/>
      <c r="E230" s="143"/>
      <c r="F230" s="101"/>
      <c r="G230" s="5"/>
      <c r="H230" s="5"/>
      <c r="I230" s="5"/>
      <c r="J230" s="5"/>
      <c r="K230" s="101"/>
    </row>
    <row r="231" spans="1:11" s="10" customFormat="1" ht="18">
      <c r="A231" s="49"/>
      <c r="C231" s="101"/>
      <c r="D231" s="101"/>
      <c r="E231" s="144"/>
      <c r="F231" s="101"/>
      <c r="K231" s="101"/>
    </row>
    <row r="232" spans="1:11" s="10" customFormat="1" ht="18">
      <c r="A232" s="49"/>
      <c r="E232" s="27"/>
      <c r="K232" s="101"/>
    </row>
    <row r="233" ht="18">
      <c r="B233" s="5"/>
    </row>
  </sheetData>
  <sheetProtection/>
  <mergeCells count="15">
    <mergeCell ref="I7:J7"/>
    <mergeCell ref="G7:H7"/>
    <mergeCell ref="A5:J5"/>
    <mergeCell ref="I6:J6"/>
    <mergeCell ref="C7:C8"/>
    <mergeCell ref="J1:M1"/>
    <mergeCell ref="J2:M2"/>
    <mergeCell ref="K7:M7"/>
    <mergeCell ref="B7:B8"/>
    <mergeCell ref="A4:J4"/>
    <mergeCell ref="F7:F8"/>
    <mergeCell ref="D7:D8"/>
    <mergeCell ref="E7:E8"/>
    <mergeCell ref="A3:J3"/>
    <mergeCell ref="A7:A8"/>
  </mergeCells>
  <printOptions horizontalCentered="1"/>
  <pageMargins left="0.11811023622047245" right="0.07874015748031496" top="0.7874015748031497" bottom="0.3937007874015748" header="0.15748031496062992" footer="0.15748031496062992"/>
  <pageSetup blackAndWhite="1" fitToHeight="11" horizontalDpi="600" verticalDpi="600" orientation="landscape" paperSize="9" scale="49" r:id="rId1"/>
  <headerFooter alignWithMargins="0">
    <oddFooter>&amp;L&amp;8D:\Arbeit\&amp;F&amp;R&amp;8&amp;P</oddFooter>
  </headerFooter>
  <rowBreaks count="3" manualBreakCount="3">
    <brk id="121" max="12" man="1"/>
    <brk id="194" max="12" man="1"/>
    <brk id="23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Чарнота Сергій петрович</dc:creator>
  <cp:keywords/>
  <dc:description/>
  <cp:lastModifiedBy>AsRock1</cp:lastModifiedBy>
  <cp:lastPrinted>2020-11-12T06:32:48Z</cp:lastPrinted>
  <dcterms:created xsi:type="dcterms:W3CDTF">2002-06-25T12:18:05Z</dcterms:created>
  <dcterms:modified xsi:type="dcterms:W3CDTF">2020-12-17T06:38:58Z</dcterms:modified>
  <cp:category/>
  <cp:version/>
  <cp:contentType/>
  <cp:contentStatus/>
</cp:coreProperties>
</file>