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05" windowWidth="12120" windowHeight="8715" activeTab="0"/>
  </bookViews>
  <sheets>
    <sheet name="Лист1" sheetId="1" r:id="rId1"/>
  </sheets>
  <definedNames>
    <definedName name="_xlnm.Print_Titles" localSheetId="0">'Лист1'!$9:$11</definedName>
    <definedName name="_xlnm.Print_Area" localSheetId="0">'Лист1'!$A$1:$M$233</definedName>
  </definedNames>
  <calcPr fullCalcOnLoad="1"/>
</workbook>
</file>

<file path=xl/sharedStrings.xml><?xml version="1.0" encoding="utf-8"?>
<sst xmlns="http://schemas.openxmlformats.org/spreadsheetml/2006/main" count="326" uniqueCount="265">
  <si>
    <t>НАЗВА</t>
  </si>
  <si>
    <t>ДОХОДИ</t>
  </si>
  <si>
    <t>Загальний фонд</t>
  </si>
  <si>
    <t>Інші надходження</t>
  </si>
  <si>
    <t>Спеціальний фонд</t>
  </si>
  <si>
    <t>ВИДАТКИ</t>
  </si>
  <si>
    <t>Державне управління</t>
  </si>
  <si>
    <t>Освіта</t>
  </si>
  <si>
    <t>Охорона здоров’я</t>
  </si>
  <si>
    <t>Соціальний захист та соціальне забезпечення</t>
  </si>
  <si>
    <t>Культура і містецтво</t>
  </si>
  <si>
    <t>Резервний фонд</t>
  </si>
  <si>
    <t>РАЗОМ ВИДАТКІВ ЗАГАЛЬНОГО ФОНДУ</t>
  </si>
  <si>
    <t>РАЗОМ ВИДАТКІВ СПЕЦІАЛЬНОГО ФОНДУ</t>
  </si>
  <si>
    <t>ВСЬОГО ВИДАТКІВ</t>
  </si>
  <si>
    <t>Перевищення доходів над видатками</t>
  </si>
  <si>
    <t>010000</t>
  </si>
  <si>
    <t>ВСЬОГО ДОХОДІВ</t>
  </si>
  <si>
    <t>РАЗОМ ДОХОДІВ СПЕЦІАЛЬНОГО ФОНДУ</t>
  </si>
  <si>
    <t>РАЗОМ ДОХОДІВ ЗАГАЛЬНОГО ФОНДУ</t>
  </si>
  <si>
    <t xml:space="preserve"> </t>
  </si>
  <si>
    <t>090209</t>
  </si>
  <si>
    <t>Інші пільги гром. які постражд. внаслід Чорноб катастрофи</t>
  </si>
  <si>
    <t>Фізична культура і спорт</t>
  </si>
  <si>
    <t xml:space="preserve">Інші субвенції </t>
  </si>
  <si>
    <t>250339</t>
  </si>
  <si>
    <t xml:space="preserve">Субвенція з ДБ місцевим бюджетам на заходи з енергозбереження, у т. ч.оснащення інженерних вводів засобами обліку споживання води, будівницво газопроводів і газифікацію населених пунктів </t>
  </si>
  <si>
    <t>250380</t>
  </si>
  <si>
    <t>грн.</t>
  </si>
  <si>
    <t>Внески органів місцевого самоврядування у статутні фонди суб’єктів підприємницької діяльності</t>
  </si>
  <si>
    <t>Податок на прибуток підприємств</t>
  </si>
  <si>
    <t>Субвенція з державного бюджету на фінансування у 2008 році Програм-переможців Всеукраїнського конкурсу проектів та програм розвитку місцевого самоврядування 2007 року</t>
  </si>
  <si>
    <t>250382</t>
  </si>
  <si>
    <t>Додаткова дотація з ДБ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у повному обсязі</t>
  </si>
  <si>
    <t>250319</t>
  </si>
  <si>
    <t>ВСЬОГО ДОХОДІВ ЗАГАЛЬНОГО ФОНДУ БЕЗ УРАХУВАННЯ ТРАНСФЕРТІВ</t>
  </si>
  <si>
    <t>Офіційні трансферти</t>
  </si>
  <si>
    <t>РАЗОМ ТРАНСФЕРТИ</t>
  </si>
  <si>
    <t xml:space="preserve">Код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</si>
  <si>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</si>
  <si>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</si>
  <si>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Надходження від орендної плати за користування цілісним майновим комплексом та іншим державним майном</t>
  </si>
  <si>
    <t>Надходження від плати за послуги, що надаються бюджетними установами згідно із законодавством</t>
  </si>
  <si>
    <t>Податок на прибуток підприємств та фінансових установ комунальної власності</t>
  </si>
  <si>
    <t>Надходження від орендної плати за користування цілісним майновим комплексом та іншим майном, що перебуває в комунальній власності</t>
  </si>
  <si>
    <t>Плата за послуги, що надаються бюджетними установами згідно з їх основною діяльністю</t>
  </si>
  <si>
    <t>080300</t>
  </si>
  <si>
    <t>080600</t>
  </si>
  <si>
    <t>Поліклініки і амбулаторії (крім спеціалізованих поліклінік та загальних і спеціалізованих стоматологічних поліклінік) </t>
  </si>
  <si>
    <t>Фельдшерсько-акушерські пункти </t>
  </si>
  <si>
    <t>Проведення навчально-тренувальних зборів і змагань з неолімпійських видів спорту</t>
  </si>
  <si>
    <t>Податок на доходи фізичних осіб, що сплачується фізичними особами за результатами річного декларування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</si>
  <si>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</si>
  <si>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Податок на доходи фізичних осіб, що сплачується податковими агентами, із доходів платника податку інших ніж заробітна плата</t>
  </si>
  <si>
    <t>250354</t>
  </si>
  <si>
    <t>Власні надходження бюджетних установ</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</si>
  <si>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</si>
  <si>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 </t>
  </si>
  <si>
    <t>Податок на доходи фізичних осіб з грошового забезпечення, грошових винагород та інших виплат , одержаних військовослужбовцями та особами для рядового і начальницького складу, що сплачується податковими агентами</t>
  </si>
  <si>
    <t>Освітня субвенція з державного бюджету місцевим бюджетам</t>
  </si>
  <si>
    <t>Медична субвенція з державного бюджету місцевим бюджетам</t>
  </si>
  <si>
    <t>Плата за надання адміністративних послуг</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</si>
  <si>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</si>
  <si>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</si>
  <si>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0100</t>
  </si>
  <si>
    <t>1000</t>
  </si>
  <si>
    <t>1020</t>
  </si>
  <si>
    <t>1090</t>
  </si>
  <si>
    <t>2000</t>
  </si>
  <si>
    <t>2010</t>
  </si>
  <si>
    <t>Багатопрофільна стаціонарна медична допомога населенню</t>
  </si>
  <si>
    <t>3000</t>
  </si>
  <si>
    <t>4000</t>
  </si>
  <si>
    <t>4030</t>
  </si>
  <si>
    <t>4060</t>
  </si>
  <si>
    <t>5000</t>
  </si>
  <si>
    <t>5012</t>
  </si>
  <si>
    <t xml:space="preserve">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   </t>
  </si>
  <si>
    <t xml:space="preserve">Частина чистого прибутку (доходу) комунальних унітарних підприємств та їх об’єднань, що вилучається до відповідного місцевого бюджету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</si>
  <si>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</si>
  <si>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</si>
  <si>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</si>
  <si>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природного газу</t>
  </si>
  <si>
    <t>Рентна плата за користування надрами для видобування газового конденсату</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</si>
  <si>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</si>
  <si>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</si>
  <si>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</si>
  <si>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</si>
  <si>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</si>
  <si>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</si>
  <si>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</si>
  <si>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</si>
  <si>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</si>
  <si>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</si>
  <si>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</si>
  <si>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</si>
  <si>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</si>
  <si>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</si>
  <si>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</si>
  <si>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</si>
  <si>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</si>
  <si>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</si>
  <si>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</si>
  <si>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Інші податки та збори</t>
  </si>
  <si>
    <t>Плата за надання інших адміністративних послуг</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</si>
  <si>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</si>
  <si>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</si>
  <si>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</si>
  <si>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</si>
  <si>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Субвенція з місцевого бюджету за рахунок залишку коштів освітньої субвенції, що утворився на початок бюджетного періоду </t>
  </si>
  <si>
    <t>Субвенція з місцевого бюджету за рахунок залишку коштів медичної субвенції, що утворився на початок бюджетного періоду (передані з районного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</si>
  <si>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</si>
  <si>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виконання інвестиційних проектів</t>
  </si>
  <si>
    <t>Інші субвенції з місцевого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</si>
  <si>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 на капітальний ремонт огороджувальних конструкцій Ново-Іванівського будинку культури Коломацького району Харківської області (передані з районного бюджету)</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</si>
  <si>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</si>
  <si>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</si>
  <si>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Пальне</t>
  </si>
  <si>
    <t>Транспортний податок з фізичних осіб</t>
  </si>
  <si>
    <t>Адміністративні штрафи та інші санкції</t>
  </si>
  <si>
    <t>Інші неподаткові надходження</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</si>
  <si>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</si>
  <si>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t>
  </si>
  <si>
    <t>1010</t>
  </si>
  <si>
    <t>Надання дошкільної освіти</t>
  </si>
  <si>
    <t>1100</t>
  </si>
  <si>
    <t>Надання спеціальної освіти школами естетичного виховання (музичними, художніми, хореографічними, театральними, хоровими, мистецькими)</t>
  </si>
  <si>
    <t>1150</t>
  </si>
  <si>
    <t>1161</t>
  </si>
  <si>
    <t>Забезпечення діяльності інших закладів у сфері освіти</t>
  </si>
  <si>
    <t>1162</t>
  </si>
  <si>
    <t>Інші програми та заходи у сфері освіти</t>
  </si>
  <si>
    <t>2111</t>
  </si>
  <si>
    <t>Первинна медична допомога населенню, що надається центрами первинної медичної медико-санітарної( допомоги)</t>
  </si>
  <si>
    <t>2144</t>
  </si>
  <si>
    <t>Централізовані заходи з лікування хворих на цукровий та нецукровий діабет</t>
  </si>
  <si>
    <t>2146</t>
  </si>
  <si>
    <t>Відшкодування вартості лікарських засобів для лікування окремих захворювань</t>
  </si>
  <si>
    <t>3210</t>
  </si>
  <si>
    <t>Організація та проведення громадських робіт</t>
  </si>
  <si>
    <t>3241</t>
  </si>
  <si>
    <t>Забезпечення діяльності інших закладів у сфері соціального захисту і соціального забезпечення</t>
  </si>
  <si>
    <t>3242</t>
  </si>
  <si>
    <t>Інші заходи у сфері соціального захисту і соціального забезпечення</t>
  </si>
  <si>
    <t>Забезпечення діяльності бібліотек</t>
  </si>
  <si>
    <t>Забезпечення діяльності палаців i будинків культури, клубів, центрів дозвілля та iнших клубних закладів</t>
  </si>
  <si>
    <t>4081</t>
  </si>
  <si>
    <t>Забезпечення діяльності  iнших закладів в галузі культури і мистецтва</t>
  </si>
  <si>
    <t>4082</t>
  </si>
  <si>
    <t>Інші заходи в галузі культури і мистецтва</t>
  </si>
  <si>
    <t>6000</t>
  </si>
  <si>
    <t>Житлово-комунальне господарство</t>
  </si>
  <si>
    <t>6013</t>
  </si>
  <si>
    <t>6030</t>
  </si>
  <si>
    <t>6071</t>
  </si>
  <si>
    <t>Забезпечення діяльності водопровідно-каналізаційного господарства</t>
  </si>
  <si>
    <t>Організація благоустрою населених пунктів</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</si>
  <si>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</si>
  <si>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7000</t>
  </si>
  <si>
    <t>Економічна діяльність</t>
  </si>
  <si>
    <t>7368</t>
  </si>
  <si>
    <t>7370</t>
  </si>
  <si>
    <t>7442</t>
  </si>
  <si>
    <t>7691</t>
  </si>
  <si>
    <t>Виконання інвестиційних проектів за рахунок субвенцій з інших бюджетів</t>
  </si>
  <si>
    <t>Реалізація інших заходів щодо соціально-економічного розвитку територій</t>
  </si>
  <si>
    <t>Утримання та розвиток інших об’єктів транспортної інфраструктури</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</si>
  <si>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</si>
  <si>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8700</t>
  </si>
  <si>
    <t>9410</t>
  </si>
  <si>
    <t>9770</t>
  </si>
  <si>
    <t xml:space="preserve">Субвенція з місцевого бюджету на здійснення переданих видатків у сфері охорони здоров’я за рахунок коштів медичної субвенції </t>
  </si>
  <si>
    <t>8311</t>
  </si>
  <si>
    <t>Охорона та раціональне використання природних ресурсів</t>
  </si>
  <si>
    <t>Акцизний податок з ввезених на митну територію України підакцизних товарів (продукції) </t>
  </si>
  <si>
    <t>Акцизний податок з вироблених в Україні підакцизних товарів (продукції)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</si>
  <si>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</si>
  <si>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Інші джерела власних надходжень бюджетних установ  </t>
  </si>
  <si>
    <t>Державне мито, пов’язане з видачею та оформленням закордонних паспортів (посвідок) та паспортів громадян України</t>
  </si>
  <si>
    <t>Плата за оренду майна в бюджетних установах</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</si>
  <si>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</si>
  <si>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</si>
  <si>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Нерозподілені видатки</t>
  </si>
  <si>
    <t>План на вказаний період</t>
  </si>
  <si>
    <t>Виконано за звітний період</t>
  </si>
  <si>
    <t>до вказаного періоду</t>
  </si>
  <si>
    <t>% виконання</t>
  </si>
  <si>
    <t xml:space="preserve"> +/- відхилення </t>
  </si>
  <si>
    <t>на вказаний період</t>
  </si>
  <si>
    <t>%</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</si>
  <si>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</si>
  <si>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Державне мито, не віднесене до інших категорій </t>
  </si>
  <si>
    <t>Субвенція з державного бюджету місцевим бюджетам на формування інфраструктури об'єднаних територіальних громад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</si>
  <si>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</si>
  <si>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</si>
  <si>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</si>
  <si>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7322</t>
  </si>
  <si>
    <t>Будівництво медичних установ та закладів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</si>
  <si>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</si>
  <si>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</si>
  <si>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</si>
  <si>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7362</t>
  </si>
  <si>
    <t>Виконання інвестиційних проектів в рамках формування інфраструктури об`єднаних територіальних громад</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</si>
  <si>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</si>
  <si>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7680</t>
  </si>
  <si>
    <t>Членські внески до асоціацій органів місцевого самовряування</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</si>
  <si>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</si>
  <si>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</si>
  <si>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7130</t>
  </si>
  <si>
    <t>Здійснення заходів із землеустрою</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</si>
  <si>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</si>
  <si>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 на будівництво амбулаторії загальної практики сімейної  медицини за адресою: вул. Пушкіна, 17а, с. Шелестове, Коломацький район, Харківська область </t>
  </si>
  <si>
    <t>7461</t>
  </si>
  <si>
    <t>7462</t>
  </si>
  <si>
    <t>Утримання та розвиток автомобільних доріг та дорожньої інфраструктури за рахунок коштів місцевого бюджету</t>
  </si>
  <si>
    <t>Субвенція з місцевого бюджету на співфінансування інвестиційних проектів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</si>
  <si>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</si>
  <si>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Надходження бюджетних установ від реалізації в установленому порядку майна (крім нерухомого майна)</t>
  </si>
  <si>
    <t>7363</t>
  </si>
  <si>
    <t xml:space="preserve">Виконання інвестиційних проектів в рамках здійснення заходів щодо соціально-економічного розвитку окремих територій </t>
  </si>
  <si>
    <t>Податки та збори, не віднесені до інших категорій</t>
  </si>
  <si>
    <t>19090000</t>
  </si>
  <si>
    <t>19090100</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</si>
  <si>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</si>
  <si>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9110</t>
  </si>
  <si>
    <t>Реверсна дотація</t>
  </si>
  <si>
    <t>1170</t>
  </si>
  <si>
    <t>Забезпечення діяльності інклюзивно-ресурсних центрів</t>
  </si>
  <si>
    <t>Утримання та розаиток автомобільних доріг та дорожньої інфраструктури за рахунок коштів місцевого бюджету</t>
  </si>
  <si>
    <t>Надходження/Видатки</t>
  </si>
  <si>
    <t>Рентна плата за користування надрами для видобування корисних копалин загальнодержавного значення</t>
  </si>
  <si>
    <t>Субвенція з місцевого бюджету на здійснення переданих видатків у сфері освіти за рахунок коштів освітньої субвенції</t>
  </si>
  <si>
    <t>ВСЬОГО ДОХОДІВ СПЕЦІАЛЬНОГО ФОНДУ (БЕЗ УРАХУВАННЯ ТРАНСФЕРТІВ)</t>
  </si>
  <si>
    <t>Рентна плата за спеціальне використання лісових ресурсів в частині деревини, заготовленої в порядку рубок головного користування</t>
  </si>
  <si>
    <t>7350</t>
  </si>
  <si>
    <t>Розроблення схем планування та забудови територій (містобудівної документації)</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</si>
  <si>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</si>
  <si>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</si>
  <si>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</si>
  <si>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Частина чистого прибутку (доходу) комунальних унітарних підприємств та їх об`єднань, що вилучається до відповідного місцевого бюджету</t>
  </si>
  <si>
    <t xml:space="preserve">                                                                                            Оперативна Інформація                                                                        </t>
  </si>
  <si>
    <t xml:space="preserve"> про виконання селищного бюджету Коломацької селищної об’єднаної територіальної громади</t>
  </si>
  <si>
    <t>НЕРУХОМЕ МАЙНО</t>
  </si>
  <si>
    <t>Субвенція з місцевого бюджету державному бюджету на виконання програм соціально-економічного розвитку регіонів</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</si>
  <si>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</si>
  <si>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Начальник фінансового управління Коломацької селищної ради</t>
  </si>
  <si>
    <t>Галина ПАЙМАШ</t>
  </si>
  <si>
    <t>Затверджений план на 2020 рік</t>
  </si>
  <si>
    <t>Затверджений план з урахуванням змін на 2020 рік</t>
  </si>
  <si>
    <t>до плану на 2020 рік з урахуванням змін</t>
  </si>
  <si>
    <t>Різниця з відповідними надходженнями/видатками 2019 року</t>
  </si>
  <si>
    <t>Відповідний період 2019 року</t>
  </si>
  <si>
    <t>Надання спеціальної освіти мистецькими школами</t>
  </si>
  <si>
    <t>Надання загальної середньої освіти закладами загальної середньої освіти ( у тому числі з дошкільними підрозділами (відділеннями, групами))</t>
  </si>
  <si>
    <t xml:space="preserve">Методичне забезпечення діяльності закладів освіти </t>
  </si>
  <si>
    <t>7150</t>
  </si>
  <si>
    <t>Реалізація програм у галузі лісового господарства і мисливства</t>
  </si>
  <si>
    <t>9800</t>
  </si>
  <si>
    <t xml:space="preserve">Утримання та розвиток автомобільних доріг та дорожньої інфраструктури за рахунок субвенції з державного бюджету </t>
  </si>
  <si>
    <t>Кошти від відчуження майна, що належить Автономній Республіці Крим та майна, що перебуває в комунальній власності  </t>
  </si>
  <si>
    <t>ПЛАТА ЗА ЗЕМЛЮ</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</si>
  <si>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</si>
  <si>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Кошти від продажу землі</t>
  </si>
  <si>
    <t xml:space="preserve">Житлово-комунальне господарство </t>
  </si>
  <si>
    <t>за січень-серпень 2020 року</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</si>
</sst>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
    <numFmt numFmtId="186" formatCode="[$-FC19]d\ mmmm\ yyyy\ &quot;г.&quot;"/>
  </numFmts>
  <fonts count="50">
    <font>
      <sz val="12"/>
      <name val="Arial Cyr"/>
      <family val="0"/>
    </font>
    <font>
      <sz val="14"/>
      <name val="Arial Cyr"/>
      <family val="2"/>
    </font>
    <font>
      <u val="single"/>
      <sz val="9"/>
      <color indexed="12"/>
      <name val="Arial Cyr"/>
      <family val="0"/>
    </font>
    <font>
      <u val="single"/>
      <sz val="9"/>
      <color indexed="36"/>
      <name val="Arial Cyr"/>
      <family val="0"/>
    </font>
    <font>
      <sz val="12"/>
      <name val="Arial"/>
      <family val="2"/>
    </font>
    <font>
      <sz val="14"/>
      <name val="Arial"/>
      <family val="2"/>
    </font>
    <font>
      <sz val="10"/>
      <name val="Arial Cyr"/>
      <family val="0"/>
    </font>
    <font>
      <b/>
      <sz val="14"/>
      <name val="Arial"/>
      <family val="2"/>
    </font>
    <font>
      <b/>
      <i/>
      <sz val="14"/>
      <name val="Arial"/>
      <family val="2"/>
    </font>
    <font>
      <b/>
      <sz val="14"/>
      <name val="Arial Cyr"/>
      <family val="0"/>
    </font>
    <font>
      <sz val="14"/>
      <color indexed="10"/>
      <name val="Arial"/>
      <family val="2"/>
    </font>
    <font>
      <sz val="14"/>
      <color indexed="10"/>
      <name val="Arial Cyr"/>
      <family val="0"/>
    </font>
    <font>
      <sz val="10"/>
      <name val="Times New Roman"/>
      <family val="1"/>
    </font>
    <font>
      <b/>
      <sz val="14"/>
      <color indexed="8"/>
      <name val="Arial Cyr"/>
      <family val="0"/>
    </font>
    <font>
      <b/>
      <sz val="14"/>
      <color indexed="8"/>
      <name val="Arial"/>
      <family val="2"/>
    </font>
    <font>
      <sz val="14"/>
      <color indexed="8"/>
      <name val="Arial"/>
      <family val="2"/>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lignment/>
      <protection/>
    </xf>
    <xf numFmtId="0" fontId="12" fillId="0" borderId="0">
      <alignment/>
      <protection/>
    </xf>
    <xf numFmtId="0" fontId="12" fillId="0" borderId="0">
      <alignment/>
      <protection/>
    </xf>
    <xf numFmtId="0" fontId="12" fillId="0" borderId="0">
      <alignment/>
      <protection/>
    </xf>
    <xf numFmtId="0" fontId="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39">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xf>
    <xf numFmtId="0" fontId="5" fillId="0" borderId="0" xfId="0" applyFont="1" applyAlignment="1" applyProtection="1">
      <alignment/>
      <protection locked="0"/>
    </xf>
    <xf numFmtId="0" fontId="0" fillId="0" borderId="0" xfId="0" applyFont="1" applyAlignment="1" applyProtection="1">
      <alignment/>
      <protection locked="0"/>
    </xf>
    <xf numFmtId="180" fontId="5"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protection/>
    </xf>
    <xf numFmtId="0" fontId="5" fillId="0" borderId="10" xfId="0" applyFont="1" applyBorder="1" applyAlignment="1" applyProtection="1">
      <alignment horizontal="center" vertical="center"/>
      <protection locked="0"/>
    </xf>
    <xf numFmtId="0" fontId="1" fillId="0" borderId="0" xfId="0" applyFont="1" applyAlignment="1" applyProtection="1">
      <alignment/>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top"/>
      <protection locked="0"/>
    </xf>
    <xf numFmtId="0" fontId="7"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5" fillId="0" borderId="10" xfId="0" applyFont="1" applyBorder="1" applyAlignment="1">
      <alignment vertical="center" wrapText="1"/>
    </xf>
    <xf numFmtId="0" fontId="5" fillId="0" borderId="10" xfId="0" applyFont="1" applyBorder="1" applyAlignment="1" applyProtection="1">
      <alignment vertical="center" wrapText="1"/>
      <protection locked="0"/>
    </xf>
    <xf numFmtId="0" fontId="7" fillId="0" borderId="10" xfId="0" applyFont="1" applyBorder="1" applyAlignment="1">
      <alignment vertical="center" wrapText="1"/>
    </xf>
    <xf numFmtId="0" fontId="7" fillId="0" borderId="10" xfId="0" applyFont="1" applyBorder="1" applyAlignment="1" applyProtection="1">
      <alignment vertical="center"/>
      <protection locked="0"/>
    </xf>
    <xf numFmtId="0" fontId="9" fillId="0" borderId="10" xfId="0" applyFont="1" applyFill="1" applyBorder="1" applyAlignment="1">
      <alignment vertical="center" wrapText="1"/>
    </xf>
    <xf numFmtId="0" fontId="1" fillId="0" borderId="10" xfId="0" applyFont="1" applyFill="1" applyBorder="1" applyAlignment="1">
      <alignment horizontal="left"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5" fillId="0" borderId="10" xfId="0" applyFont="1" applyBorder="1" applyAlignment="1">
      <alignment vertical="center"/>
    </xf>
    <xf numFmtId="0" fontId="7" fillId="0" borderId="10" xfId="0" applyFont="1" applyBorder="1" applyAlignment="1">
      <alignment vertical="center"/>
    </xf>
    <xf numFmtId="0" fontId="11" fillId="0" borderId="0" xfId="0" applyFont="1" applyAlignment="1" applyProtection="1">
      <alignment/>
      <protection locked="0"/>
    </xf>
    <xf numFmtId="0" fontId="5" fillId="0" borderId="10" xfId="0" applyFont="1" applyBorder="1" applyAlignment="1" applyProtection="1">
      <alignment vertical="center"/>
      <protection locked="0"/>
    </xf>
    <xf numFmtId="0" fontId="7" fillId="0" borderId="10" xfId="0" applyFont="1" applyBorder="1" applyAlignment="1" applyProtection="1">
      <alignment horizontal="left" vertical="center" wrapText="1"/>
      <protection locked="0"/>
    </xf>
    <xf numFmtId="3" fontId="7" fillId="33" borderId="10" xfId="0" applyNumberFormat="1" applyFont="1" applyFill="1" applyBorder="1" applyAlignment="1" applyProtection="1">
      <alignment horizontal="right"/>
      <protection/>
    </xf>
    <xf numFmtId="0" fontId="1" fillId="0" borderId="10" xfId="0" applyFont="1" applyBorder="1" applyAlignment="1">
      <alignment vertical="center" wrapText="1"/>
    </xf>
    <xf numFmtId="0" fontId="9" fillId="0" borderId="0" xfId="0" applyFont="1" applyAlignment="1" applyProtection="1">
      <alignment/>
      <protection locked="0"/>
    </xf>
    <xf numFmtId="0" fontId="7" fillId="0" borderId="10" xfId="0" applyFont="1" applyBorder="1" applyAlignment="1" applyProtection="1">
      <alignment horizontal="center" vertical="top"/>
      <protection locked="0"/>
    </xf>
    <xf numFmtId="0" fontId="1" fillId="0" borderId="10" xfId="0" applyFont="1" applyBorder="1" applyAlignment="1">
      <alignment vertical="center"/>
    </xf>
    <xf numFmtId="0" fontId="1" fillId="0" borderId="10" xfId="0" applyNumberFormat="1" applyFont="1" applyBorder="1" applyAlignment="1">
      <alignment vertical="center" wrapText="1"/>
    </xf>
    <xf numFmtId="0" fontId="9" fillId="0" borderId="10" xfId="0" applyFont="1" applyBorder="1" applyAlignment="1">
      <alignment vertical="center" wrapText="1"/>
    </xf>
    <xf numFmtId="49" fontId="7" fillId="0" borderId="1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2" fontId="5" fillId="0" borderId="10" xfId="0" applyNumberFormat="1" applyFont="1" applyBorder="1" applyAlignment="1">
      <alignment vertical="center" wrapText="1"/>
    </xf>
    <xf numFmtId="0" fontId="9" fillId="0" borderId="10" xfId="53" applyFont="1" applyFill="1" applyBorder="1" applyAlignment="1" applyProtection="1">
      <alignment vertical="center" wrapText="1"/>
      <protection/>
    </xf>
    <xf numFmtId="0" fontId="5" fillId="0" borderId="10" xfId="0" applyFont="1" applyBorder="1" applyAlignment="1" applyProtection="1">
      <alignment horizontal="left" vertical="top" wrapText="1"/>
      <protection locked="0"/>
    </xf>
    <xf numFmtId="0" fontId="5" fillId="0" borderId="10" xfId="0" applyNumberFormat="1"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0" xfId="0" applyFont="1" applyBorder="1" applyAlignment="1" applyProtection="1">
      <alignment wrapText="1"/>
      <protection locked="0"/>
    </xf>
    <xf numFmtId="0" fontId="1" fillId="0" borderId="10" xfId="53" applyFont="1" applyFill="1" applyBorder="1" applyAlignment="1" applyProtection="1">
      <alignment vertical="center" wrapText="1"/>
      <protection/>
    </xf>
    <xf numFmtId="180" fontId="7" fillId="33" borderId="10" xfId="0" applyNumberFormat="1" applyFont="1" applyFill="1" applyBorder="1" applyAlignment="1" applyProtection="1">
      <alignment horizontal="right"/>
      <protection/>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1" fillId="0" borderId="0" xfId="0" applyFont="1" applyAlignment="1" applyProtection="1">
      <alignment horizontal="center"/>
      <protection locked="0"/>
    </xf>
    <xf numFmtId="0" fontId="0" fillId="0" borderId="10" xfId="0" applyFont="1"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3" fontId="1" fillId="0" borderId="10" xfId="0" applyNumberFormat="1" applyFont="1" applyBorder="1" applyAlignment="1" applyProtection="1">
      <alignment/>
      <protection locked="0"/>
    </xf>
    <xf numFmtId="3" fontId="1" fillId="33" borderId="10" xfId="0" applyNumberFormat="1" applyFont="1" applyFill="1" applyBorder="1" applyAlignment="1" applyProtection="1">
      <alignment/>
      <protection locked="0"/>
    </xf>
    <xf numFmtId="180" fontId="5" fillId="0" borderId="10" xfId="0" applyNumberFormat="1" applyFont="1" applyFill="1" applyBorder="1" applyAlignment="1" applyProtection="1">
      <alignment vertical="top"/>
      <protection/>
    </xf>
    <xf numFmtId="0" fontId="1" fillId="0" borderId="10" xfId="0" applyFont="1" applyFill="1" applyBorder="1" applyAlignment="1" applyProtection="1">
      <alignment/>
      <protection locked="0"/>
    </xf>
    <xf numFmtId="180" fontId="1" fillId="33" borderId="10" xfId="0" applyNumberFormat="1" applyFont="1" applyFill="1" applyBorder="1" applyAlignment="1" applyProtection="1">
      <alignment/>
      <protection locked="0"/>
    </xf>
    <xf numFmtId="3" fontId="7"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4" fontId="5" fillId="33" borderId="10" xfId="0" applyNumberFormat="1" applyFont="1" applyFill="1" applyBorder="1" applyAlignment="1" applyProtection="1">
      <alignment horizontal="right"/>
      <protection/>
    </xf>
    <xf numFmtId="0" fontId="9" fillId="0" borderId="10" xfId="0" applyFont="1" applyFill="1" applyBorder="1" applyAlignment="1">
      <alignment vertical="top" wrapText="1"/>
    </xf>
    <xf numFmtId="180" fontId="5" fillId="0" borderId="10" xfId="0" applyNumberFormat="1" applyFont="1" applyFill="1" applyBorder="1" applyAlignment="1" applyProtection="1">
      <alignment horizontal="right"/>
      <protection/>
    </xf>
    <xf numFmtId="0" fontId="1" fillId="0" borderId="10" xfId="0" applyFont="1" applyBorder="1" applyAlignment="1">
      <alignment/>
    </xf>
    <xf numFmtId="0" fontId="1" fillId="0" borderId="10" xfId="0" applyFont="1" applyBorder="1" applyAlignment="1">
      <alignment wrapText="1"/>
    </xf>
    <xf numFmtId="1" fontId="7" fillId="0" borderId="10" xfId="55" applyNumberFormat="1" applyFont="1" applyBorder="1" applyAlignment="1">
      <alignment vertical="center"/>
      <protection/>
    </xf>
    <xf numFmtId="0" fontId="9" fillId="0" borderId="0" xfId="0" applyFont="1" applyAlignment="1" applyProtection="1">
      <alignment vertical="center"/>
      <protection locked="0"/>
    </xf>
    <xf numFmtId="1" fontId="5" fillId="0" borderId="10" xfId="55" applyNumberFormat="1" applyFont="1" applyBorder="1" applyAlignment="1">
      <alignment vertical="center"/>
      <protection/>
    </xf>
    <xf numFmtId="0" fontId="1" fillId="0" borderId="0" xfId="0" applyFont="1" applyAlignment="1" applyProtection="1">
      <alignment vertical="center"/>
      <protection locked="0"/>
    </xf>
    <xf numFmtId="0" fontId="7" fillId="0" borderId="10" xfId="0" applyFont="1" applyBorder="1" applyAlignment="1">
      <alignment wrapText="1"/>
    </xf>
    <xf numFmtId="0" fontId="7" fillId="0" borderId="10" xfId="0" applyFont="1" applyFill="1" applyBorder="1" applyAlignment="1" applyProtection="1">
      <alignment vertical="center" wrapText="1"/>
      <protection hidden="1"/>
    </xf>
    <xf numFmtId="0" fontId="5" fillId="0" borderId="10" xfId="0" applyFont="1" applyFill="1" applyBorder="1" applyAlignment="1" applyProtection="1">
      <alignment vertical="center" wrapText="1"/>
      <protection hidden="1"/>
    </xf>
    <xf numFmtId="0" fontId="5" fillId="0" borderId="10" xfId="0" applyFont="1" applyBorder="1" applyAlignment="1" applyProtection="1">
      <alignment horizontal="left" vertical="center" wrapText="1"/>
      <protection locked="0"/>
    </xf>
    <xf numFmtId="0" fontId="1" fillId="0" borderId="10" xfId="0" applyFont="1" applyFill="1" applyBorder="1" applyAlignment="1">
      <alignment vertical="center" wrapText="1"/>
    </xf>
    <xf numFmtId="0" fontId="1" fillId="0" borderId="10" xfId="0" applyNumberFormat="1" applyFont="1" applyFill="1" applyBorder="1" applyAlignment="1">
      <alignment vertical="center" wrapText="1"/>
    </xf>
    <xf numFmtId="2" fontId="5" fillId="0" borderId="10" xfId="0" applyNumberFormat="1" applyFont="1" applyBorder="1" applyAlignment="1">
      <alignment/>
    </xf>
    <xf numFmtId="3" fontId="9" fillId="33" borderId="10" xfId="0" applyNumberFormat="1" applyFont="1" applyFill="1" applyBorder="1" applyAlignment="1" applyProtection="1">
      <alignment horizontal="right"/>
      <protection locked="0"/>
    </xf>
    <xf numFmtId="3" fontId="1" fillId="0" borderId="10" xfId="0" applyNumberFormat="1" applyFont="1" applyFill="1" applyBorder="1" applyAlignment="1" applyProtection="1">
      <alignment horizontal="right"/>
      <protection locked="0"/>
    </xf>
    <xf numFmtId="0" fontId="9" fillId="0" borderId="10" xfId="0" applyFont="1" applyFill="1" applyBorder="1" applyAlignment="1">
      <alignment horizontal="left" wrapText="1"/>
    </xf>
    <xf numFmtId="3" fontId="9" fillId="0" borderId="0" xfId="0" applyNumberFormat="1" applyFont="1" applyAlignment="1" applyProtection="1">
      <alignment/>
      <protection locked="0"/>
    </xf>
    <xf numFmtId="3" fontId="1" fillId="0" borderId="0" xfId="0" applyNumberFormat="1" applyFont="1" applyAlignment="1" applyProtection="1">
      <alignment/>
      <protection locked="0"/>
    </xf>
    <xf numFmtId="0" fontId="10" fillId="0" borderId="10" xfId="0" applyFont="1" applyBorder="1" applyAlignment="1" applyProtection="1">
      <alignment horizontal="center" vertical="top"/>
      <protection locked="0"/>
    </xf>
    <xf numFmtId="180" fontId="10" fillId="33" borderId="10" xfId="0" applyNumberFormat="1" applyFont="1" applyFill="1" applyBorder="1" applyAlignment="1" applyProtection="1">
      <alignment horizontal="right"/>
      <protection/>
    </xf>
    <xf numFmtId="3" fontId="10" fillId="33" borderId="10" xfId="0" applyNumberFormat="1" applyFont="1" applyFill="1" applyBorder="1" applyAlignment="1" applyProtection="1">
      <alignment horizontal="right"/>
      <protection/>
    </xf>
    <xf numFmtId="3" fontId="11" fillId="33" borderId="10" xfId="0" applyNumberFormat="1" applyFont="1" applyFill="1" applyBorder="1" applyAlignment="1" applyProtection="1">
      <alignment/>
      <protection locked="0"/>
    </xf>
    <xf numFmtId="180" fontId="11" fillId="33" borderId="10" xfId="0" applyNumberFormat="1" applyFont="1" applyFill="1" applyBorder="1" applyAlignment="1" applyProtection="1">
      <alignment/>
      <protection locked="0"/>
    </xf>
    <xf numFmtId="3" fontId="1" fillId="33" borderId="10" xfId="0" applyNumberFormat="1" applyFont="1" applyFill="1" applyBorder="1" applyAlignment="1" applyProtection="1">
      <alignment horizontal="right"/>
      <protection locked="0"/>
    </xf>
    <xf numFmtId="180" fontId="9" fillId="33" borderId="10" xfId="0" applyNumberFormat="1" applyFont="1" applyFill="1" applyBorder="1" applyAlignment="1" applyProtection="1">
      <alignment horizontal="right"/>
      <protection locked="0"/>
    </xf>
    <xf numFmtId="180" fontId="1" fillId="33" borderId="10" xfId="0" applyNumberFormat="1" applyFont="1" applyFill="1" applyBorder="1" applyAlignment="1" applyProtection="1">
      <alignment horizontal="right"/>
      <protection locked="0"/>
    </xf>
    <xf numFmtId="3" fontId="9" fillId="0" borderId="10" xfId="0" applyNumberFormat="1" applyFont="1" applyFill="1" applyBorder="1" applyAlignment="1" applyProtection="1">
      <alignment horizontal="right"/>
      <protection locked="0"/>
    </xf>
    <xf numFmtId="180" fontId="1" fillId="0" borderId="10" xfId="0" applyNumberFormat="1" applyFont="1" applyFill="1" applyBorder="1" applyAlignment="1" applyProtection="1">
      <alignment horizontal="right"/>
      <protection locked="0"/>
    </xf>
    <xf numFmtId="49" fontId="5" fillId="0" borderId="10" xfId="0" applyNumberFormat="1" applyFont="1" applyFill="1" applyBorder="1" applyAlignment="1" applyProtection="1">
      <alignment horizontal="center" vertical="center"/>
      <protection locked="0"/>
    </xf>
    <xf numFmtId="2" fontId="5" fillId="0" borderId="10" xfId="0" applyNumberFormat="1" applyFont="1" applyFill="1" applyBorder="1" applyAlignment="1">
      <alignment vertical="center" wrapText="1"/>
    </xf>
    <xf numFmtId="0" fontId="0"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180" fontId="5" fillId="0" borderId="10" xfId="0" applyNumberFormat="1" applyFont="1" applyFill="1" applyBorder="1" applyAlignment="1" applyProtection="1">
      <alignment vertical="top"/>
      <protection locked="0"/>
    </xf>
    <xf numFmtId="3" fontId="7" fillId="0" borderId="10" xfId="0" applyNumberFormat="1" applyFont="1" applyFill="1" applyBorder="1" applyAlignment="1" applyProtection="1">
      <alignment horizontal="right"/>
      <protection locked="0"/>
    </xf>
    <xf numFmtId="3" fontId="5" fillId="0" borderId="10" xfId="0" applyNumberFormat="1" applyFont="1" applyFill="1" applyBorder="1" applyAlignment="1" applyProtection="1">
      <alignment horizontal="right"/>
      <protection locked="0"/>
    </xf>
    <xf numFmtId="3" fontId="5" fillId="0" borderId="10" xfId="0" applyNumberFormat="1" applyFont="1" applyFill="1" applyBorder="1" applyAlignment="1">
      <alignment horizontal="right"/>
    </xf>
    <xf numFmtId="0" fontId="5" fillId="0" borderId="0" xfId="0" applyFont="1" applyFill="1" applyAlignment="1" applyProtection="1">
      <alignment/>
      <protection locked="0"/>
    </xf>
    <xf numFmtId="0" fontId="1" fillId="0" borderId="0" xfId="0" applyFont="1" applyFill="1" applyAlignment="1" applyProtection="1">
      <alignment/>
      <protection locked="0"/>
    </xf>
    <xf numFmtId="3" fontId="0" fillId="0" borderId="0" xfId="0" applyNumberFormat="1" applyFont="1" applyFill="1" applyAlignment="1" applyProtection="1">
      <alignment/>
      <protection locked="0"/>
    </xf>
    <xf numFmtId="0" fontId="1"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3" fontId="13" fillId="0" borderId="10" xfId="0" applyNumberFormat="1" applyFont="1" applyFill="1" applyBorder="1" applyAlignment="1" applyProtection="1">
      <alignment horizontal="right" wrapText="1"/>
      <protection/>
    </xf>
    <xf numFmtId="3" fontId="1" fillId="0" borderId="10" xfId="56" applyNumberFormat="1" applyFont="1" applyFill="1" applyBorder="1" applyAlignment="1">
      <alignment horizontal="right"/>
      <protection/>
    </xf>
    <xf numFmtId="3" fontId="5" fillId="0" borderId="10" xfId="54" applyNumberFormat="1" applyFont="1" applyFill="1" applyBorder="1" applyAlignment="1">
      <alignment horizontal="right"/>
      <protection/>
    </xf>
    <xf numFmtId="3" fontId="9" fillId="0" borderId="10" xfId="0" applyNumberFormat="1" applyFont="1" applyFill="1" applyBorder="1" applyAlignment="1" applyProtection="1">
      <alignment horizontal="right"/>
      <protection/>
    </xf>
    <xf numFmtId="3" fontId="11" fillId="0" borderId="10" xfId="0" applyNumberFormat="1" applyFont="1" applyFill="1" applyBorder="1" applyAlignment="1" applyProtection="1">
      <alignment/>
      <protection locked="0"/>
    </xf>
    <xf numFmtId="3" fontId="1" fillId="0" borderId="10" xfId="0" applyNumberFormat="1" applyFont="1" applyFill="1" applyBorder="1" applyAlignment="1" applyProtection="1">
      <alignment/>
      <protection locked="0"/>
    </xf>
    <xf numFmtId="0" fontId="0" fillId="0" borderId="0" xfId="0" applyFont="1" applyFill="1" applyAlignment="1" applyProtection="1">
      <alignment/>
      <protection locked="0"/>
    </xf>
    <xf numFmtId="3" fontId="5" fillId="0" borderId="10" xfId="0" applyNumberFormat="1" applyFont="1" applyFill="1" applyBorder="1" applyAlignment="1" applyProtection="1">
      <alignment horizontal="right" wrapText="1"/>
      <protection/>
    </xf>
    <xf numFmtId="3" fontId="5" fillId="0" borderId="10" xfId="0" applyNumberFormat="1" applyFont="1" applyBorder="1" applyAlignment="1" applyProtection="1">
      <alignment horizontal="right" wrapText="1"/>
      <protection/>
    </xf>
    <xf numFmtId="3" fontId="7" fillId="0" borderId="10" xfId="0" applyNumberFormat="1" applyFont="1" applyFill="1" applyBorder="1" applyAlignment="1" applyProtection="1">
      <alignment horizontal="right" wrapText="1"/>
      <protection/>
    </xf>
    <xf numFmtId="3" fontId="9" fillId="0" borderId="10" xfId="55" applyNumberFormat="1" applyFont="1" applyFill="1" applyBorder="1" applyAlignment="1">
      <alignment horizontal="right"/>
      <protection/>
    </xf>
    <xf numFmtId="3" fontId="1" fillId="0" borderId="10" xfId="55" applyNumberFormat="1" applyFont="1" applyFill="1" applyBorder="1" applyAlignment="1">
      <alignment horizontal="right"/>
      <protection/>
    </xf>
    <xf numFmtId="3" fontId="7" fillId="0" borderId="10" xfId="54" applyNumberFormat="1" applyFont="1" applyFill="1" applyBorder="1" applyAlignment="1">
      <alignment horizontal="right"/>
      <protection/>
    </xf>
    <xf numFmtId="3" fontId="9" fillId="0" borderId="10" xfId="0" applyNumberFormat="1" applyFont="1" applyFill="1" applyBorder="1" applyAlignment="1" applyProtection="1">
      <alignment/>
      <protection locked="0"/>
    </xf>
    <xf numFmtId="3" fontId="9" fillId="33" borderId="10" xfId="0" applyNumberFormat="1" applyFont="1" applyFill="1" applyBorder="1" applyAlignment="1" applyProtection="1">
      <alignment/>
      <protection locked="0"/>
    </xf>
    <xf numFmtId="180" fontId="9" fillId="33" borderId="10" xfId="0" applyNumberFormat="1" applyFont="1" applyFill="1" applyBorder="1" applyAlignment="1" applyProtection="1">
      <alignment/>
      <protection locked="0"/>
    </xf>
    <xf numFmtId="0" fontId="5" fillId="0" borderId="10" xfId="0" applyFont="1" applyFill="1" applyBorder="1" applyAlignment="1">
      <alignment vertical="center" wrapText="1"/>
    </xf>
    <xf numFmtId="180" fontId="1" fillId="0" borderId="10" xfId="0" applyNumberFormat="1" applyFont="1" applyFill="1" applyBorder="1" applyAlignment="1" applyProtection="1">
      <alignment/>
      <protection locked="0"/>
    </xf>
    <xf numFmtId="3" fontId="15" fillId="0" borderId="10" xfId="0" applyNumberFormat="1" applyFont="1" applyBorder="1" applyAlignment="1" applyProtection="1">
      <alignment horizontal="right" wrapText="1"/>
      <protection/>
    </xf>
    <xf numFmtId="3" fontId="14" fillId="0" borderId="10" xfId="0" applyNumberFormat="1" applyFont="1" applyBorder="1" applyAlignment="1" applyProtection="1">
      <alignment horizontal="right" wrapText="1"/>
      <protection/>
    </xf>
    <xf numFmtId="3" fontId="15" fillId="0" borderId="10" xfId="0" applyNumberFormat="1" applyFont="1" applyBorder="1" applyAlignment="1" applyProtection="1">
      <alignment horizontal="right" vertical="top" wrapText="1"/>
      <protection/>
    </xf>
    <xf numFmtId="3" fontId="5" fillId="0" borderId="10" xfId="56" applyNumberFormat="1" applyFont="1" applyBorder="1" applyAlignment="1">
      <alignment horizontal="right"/>
      <protection/>
    </xf>
    <xf numFmtId="3" fontId="7" fillId="0" borderId="10" xfId="56" applyNumberFormat="1" applyFont="1" applyBorder="1" applyAlignment="1">
      <alignment horizontal="right"/>
      <protection/>
    </xf>
    <xf numFmtId="3" fontId="5" fillId="0" borderId="10" xfId="0" applyNumberFormat="1" applyFont="1" applyBorder="1" applyAlignment="1" applyProtection="1">
      <alignment horizontal="right"/>
      <protection locked="0"/>
    </xf>
    <xf numFmtId="3" fontId="1" fillId="0" borderId="10" xfId="0" applyNumberFormat="1" applyFont="1" applyBorder="1" applyAlignment="1">
      <alignment/>
    </xf>
    <xf numFmtId="3" fontId="5" fillId="0" borderId="11" xfId="0" applyNumberFormat="1" applyFont="1" applyBorder="1" applyAlignment="1">
      <alignment/>
    </xf>
    <xf numFmtId="3" fontId="5" fillId="0" borderId="10" xfId="0" applyNumberFormat="1" applyFont="1" applyBorder="1" applyAlignment="1">
      <alignment/>
    </xf>
    <xf numFmtId="0" fontId="0" fillId="0" borderId="0" xfId="0" applyFont="1" applyAlignment="1" applyProtection="1">
      <alignment horizontal="right"/>
      <protection locked="0"/>
    </xf>
    <xf numFmtId="3" fontId="0" fillId="0" borderId="0" xfId="0" applyNumberFormat="1" applyFont="1" applyAlignment="1" applyProtection="1">
      <alignment horizontal="right"/>
      <protection locked="0"/>
    </xf>
    <xf numFmtId="0" fontId="1" fillId="0" borderId="0" xfId="0" applyFont="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1" fillId="0" borderId="10" xfId="0" applyFont="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8" xfId="53"/>
    <cellStyle name="Обычный_doh_sf" xfId="54"/>
    <cellStyle name="Обычный_doh_zf" xfId="55"/>
    <cellStyle name="Обычный_zv_mis"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3"/>
  <sheetViews>
    <sheetView showZeros="0" tabSelected="1" view="pageBreakPreview" zoomScale="60" zoomScaleNormal="75" zoomScalePageLayoutView="0" workbookViewId="0" topLeftCell="A1">
      <pane xSplit="2" ySplit="11" topLeftCell="C217" activePane="bottomRight" state="frozen"/>
      <selection pane="topLeft" activeCell="A1" sqref="A1"/>
      <selection pane="topRight" activeCell="C1" sqref="C1"/>
      <selection pane="bottomLeft" activeCell="A8" sqref="A8"/>
      <selection pane="bottomRight" activeCell="K223" sqref="K223"/>
    </sheetView>
  </sheetViews>
  <sheetFormatPr defaultColWidth="8.796875" defaultRowHeight="15"/>
  <cols>
    <col min="1" max="1" width="10.59765625" style="2" customWidth="1"/>
    <col min="2" max="2" width="71.3984375" style="1" customWidth="1"/>
    <col min="3" max="3" width="15" style="111" customWidth="1"/>
    <col min="4" max="4" width="16.296875" style="111" customWidth="1"/>
    <col min="5" max="5" width="13.19921875" style="111" customWidth="1"/>
    <col min="6" max="6" width="14.09765625" style="111" customWidth="1"/>
    <col min="7" max="7" width="11.8984375" style="1" customWidth="1"/>
    <col min="8" max="8" width="13.59765625" style="1" customWidth="1"/>
    <col min="9" max="9" width="13.19921875" style="1" customWidth="1"/>
    <col min="10" max="10" width="14.296875" style="1" customWidth="1"/>
    <col min="11" max="11" width="15.09765625" style="111" customWidth="1"/>
    <col min="12" max="12" width="16.09765625" style="1" customWidth="1"/>
    <col min="13" max="13" width="12.19921875" style="1" customWidth="1"/>
    <col min="14" max="14" width="9.69921875" style="1" bestFit="1" customWidth="1"/>
    <col min="15" max="16384" width="8.8984375" style="1" customWidth="1"/>
  </cols>
  <sheetData>
    <row r="1" spans="3:13" ht="15">
      <c r="C1" s="94"/>
      <c r="D1" s="94"/>
      <c r="E1" s="94"/>
      <c r="F1" s="94"/>
      <c r="J1" s="132"/>
      <c r="K1" s="132"/>
      <c r="L1" s="132"/>
      <c r="M1" s="132"/>
    </row>
    <row r="2" spans="3:13" ht="15">
      <c r="C2" s="94"/>
      <c r="D2" s="94"/>
      <c r="E2" s="94"/>
      <c r="F2" s="94"/>
      <c r="J2" s="132"/>
      <c r="K2" s="132"/>
      <c r="L2" s="132"/>
      <c r="M2" s="132"/>
    </row>
    <row r="3" spans="3:13" ht="15">
      <c r="C3" s="94"/>
      <c r="D3" s="94"/>
      <c r="E3" s="94"/>
      <c r="F3" s="94"/>
      <c r="J3" s="133"/>
      <c r="K3" s="132"/>
      <c r="L3" s="132"/>
      <c r="M3" s="132"/>
    </row>
    <row r="4" spans="3:13" ht="15">
      <c r="C4" s="94"/>
      <c r="D4" s="94"/>
      <c r="E4" s="94"/>
      <c r="F4" s="94"/>
      <c r="J4" s="132"/>
      <c r="K4" s="132"/>
      <c r="L4" s="132"/>
      <c r="M4" s="132"/>
    </row>
    <row r="5" spans="1:11" ht="18">
      <c r="A5" s="134" t="s">
        <v>240</v>
      </c>
      <c r="B5" s="134"/>
      <c r="C5" s="134"/>
      <c r="D5" s="134"/>
      <c r="E5" s="134"/>
      <c r="F5" s="134"/>
      <c r="G5" s="134"/>
      <c r="H5" s="134"/>
      <c r="I5" s="134"/>
      <c r="J5" s="134"/>
      <c r="K5" s="94"/>
    </row>
    <row r="6" spans="1:11" ht="18">
      <c r="A6" s="134" t="s">
        <v>241</v>
      </c>
      <c r="B6" s="134"/>
      <c r="C6" s="134"/>
      <c r="D6" s="134"/>
      <c r="E6" s="134"/>
      <c r="F6" s="134"/>
      <c r="G6" s="134"/>
      <c r="H6" s="134"/>
      <c r="I6" s="134"/>
      <c r="J6" s="134"/>
      <c r="K6" s="102"/>
    </row>
    <row r="7" spans="1:11" ht="18">
      <c r="A7" s="134" t="s">
        <v>264</v>
      </c>
      <c r="B7" s="134"/>
      <c r="C7" s="134"/>
      <c r="D7" s="134"/>
      <c r="E7" s="134"/>
      <c r="F7" s="134"/>
      <c r="G7" s="134"/>
      <c r="H7" s="134"/>
      <c r="I7" s="134"/>
      <c r="J7" s="134"/>
      <c r="K7" s="102"/>
    </row>
    <row r="8" spans="3:11" ht="15">
      <c r="C8" s="94"/>
      <c r="D8" s="94"/>
      <c r="E8" s="94"/>
      <c r="F8" s="102"/>
      <c r="I8" s="136" t="s">
        <v>28</v>
      </c>
      <c r="J8" s="136"/>
      <c r="K8" s="94"/>
    </row>
    <row r="9" spans="1:13" ht="24.75" customHeight="1">
      <c r="A9" s="135" t="s">
        <v>38</v>
      </c>
      <c r="B9" s="135" t="s">
        <v>0</v>
      </c>
      <c r="C9" s="138" t="s">
        <v>247</v>
      </c>
      <c r="D9" s="138" t="s">
        <v>248</v>
      </c>
      <c r="E9" s="138" t="s">
        <v>183</v>
      </c>
      <c r="F9" s="138" t="s">
        <v>184</v>
      </c>
      <c r="G9" s="135" t="s">
        <v>186</v>
      </c>
      <c r="H9" s="135"/>
      <c r="I9" s="135" t="s">
        <v>187</v>
      </c>
      <c r="J9" s="135"/>
      <c r="K9" s="137" t="s">
        <v>251</v>
      </c>
      <c r="L9" s="137"/>
      <c r="M9" s="137"/>
    </row>
    <row r="10" spans="1:13" s="6" customFormat="1" ht="105.75" customHeight="1">
      <c r="A10" s="135"/>
      <c r="B10" s="135"/>
      <c r="C10" s="138"/>
      <c r="D10" s="138"/>
      <c r="E10" s="138"/>
      <c r="F10" s="138"/>
      <c r="G10" s="11" t="s">
        <v>188</v>
      </c>
      <c r="H10" s="11" t="s">
        <v>249</v>
      </c>
      <c r="I10" s="11" t="s">
        <v>185</v>
      </c>
      <c r="J10" s="11" t="s">
        <v>249</v>
      </c>
      <c r="K10" s="103" t="s">
        <v>229</v>
      </c>
      <c r="L10" s="52" t="s">
        <v>250</v>
      </c>
      <c r="M10" s="53" t="s">
        <v>189</v>
      </c>
    </row>
    <row r="11" spans="1:13" s="6" customFormat="1" ht="15">
      <c r="A11" s="3">
        <v>1</v>
      </c>
      <c r="B11" s="3">
        <v>2</v>
      </c>
      <c r="C11" s="95">
        <v>3</v>
      </c>
      <c r="D11" s="95">
        <v>4</v>
      </c>
      <c r="E11" s="95">
        <v>5</v>
      </c>
      <c r="F11" s="95">
        <v>6</v>
      </c>
      <c r="G11" s="4">
        <v>7</v>
      </c>
      <c r="H11" s="4">
        <v>8</v>
      </c>
      <c r="I11" s="4">
        <v>9</v>
      </c>
      <c r="J11" s="4">
        <v>10</v>
      </c>
      <c r="K11" s="104"/>
      <c r="L11" s="50"/>
      <c r="M11" s="50"/>
    </row>
    <row r="12" spans="1:13" s="10" customFormat="1" ht="18">
      <c r="A12" s="12"/>
      <c r="B12" s="13" t="s">
        <v>1</v>
      </c>
      <c r="C12" s="96"/>
      <c r="D12" s="96"/>
      <c r="E12" s="96"/>
      <c r="F12" s="96"/>
      <c r="G12" s="56"/>
      <c r="H12" s="56" t="str">
        <f>IF(E12=0," ",F12/E12*100)</f>
        <v> </v>
      </c>
      <c r="I12" s="56"/>
      <c r="J12" s="56"/>
      <c r="K12" s="57"/>
      <c r="L12" s="57"/>
      <c r="M12" s="51"/>
    </row>
    <row r="13" spans="1:13" s="10" customFormat="1" ht="18.75">
      <c r="A13" s="12"/>
      <c r="B13" s="14" t="s">
        <v>2</v>
      </c>
      <c r="C13" s="96"/>
      <c r="D13" s="96"/>
      <c r="E13" s="96"/>
      <c r="F13" s="96"/>
      <c r="G13" s="56"/>
      <c r="H13" s="56" t="str">
        <f>IF(E13=0," ",F13/E13*100)</f>
        <v> </v>
      </c>
      <c r="I13" s="56"/>
      <c r="J13" s="56"/>
      <c r="K13" s="57"/>
      <c r="L13" s="57"/>
      <c r="M13" s="51"/>
    </row>
    <row r="14" spans="1:13" s="32" customFormat="1" ht="21" customHeight="1">
      <c r="A14" s="15">
        <v>11010000</v>
      </c>
      <c r="B14" s="16" t="s">
        <v>56</v>
      </c>
      <c r="C14" s="97">
        <f>C15+C16+C17+C18</f>
        <v>22866190</v>
      </c>
      <c r="D14" s="97">
        <f>D15+D16+D17+D18</f>
        <v>22343890</v>
      </c>
      <c r="E14" s="97">
        <f>E15+E16+E17+E18</f>
        <v>12114824</v>
      </c>
      <c r="F14" s="97">
        <f>F15+F16+F17+F18</f>
        <v>12031460.97</v>
      </c>
      <c r="G14" s="46">
        <f>F14/E14%</f>
        <v>99.31189235600947</v>
      </c>
      <c r="H14" s="46">
        <f>F14/D14%</f>
        <v>53.8467606580591</v>
      </c>
      <c r="I14" s="30">
        <f aca="true" t="shared" si="0" ref="I14:I19">F14-E14</f>
        <v>-83363.02999999933</v>
      </c>
      <c r="J14" s="30">
        <f aca="true" t="shared" si="1" ref="J14:J71">F14-D14</f>
        <v>-10312429.03</v>
      </c>
      <c r="K14" s="90">
        <f>SUM(K15:K18)</f>
        <v>11161444.889999999</v>
      </c>
      <c r="L14" s="77">
        <f>IF(K14=0,0,F14-K14)</f>
        <v>870016.0800000019</v>
      </c>
      <c r="M14" s="88">
        <f>IF(K14=0,0,F14/K14*100)</f>
        <v>107.79483381026667</v>
      </c>
    </row>
    <row r="15" spans="1:13" s="10" customFormat="1" ht="42.75" customHeight="1">
      <c r="A15" s="9">
        <v>11010100</v>
      </c>
      <c r="B15" s="17" t="s">
        <v>57</v>
      </c>
      <c r="C15" s="112">
        <v>15816190</v>
      </c>
      <c r="D15" s="112">
        <v>15293890</v>
      </c>
      <c r="E15" s="123">
        <v>9411374</v>
      </c>
      <c r="F15" s="123">
        <v>8721344.32</v>
      </c>
      <c r="G15" s="7">
        <f>F15/E15%</f>
        <v>92.66813028575848</v>
      </c>
      <c r="H15" s="7">
        <f aca="true" t="shared" si="2" ref="H15:H76">IF(D15=0,0,F15/D15%)</f>
        <v>57.02502319553757</v>
      </c>
      <c r="I15" s="8">
        <f t="shared" si="0"/>
        <v>-690029.6799999997</v>
      </c>
      <c r="J15" s="8">
        <f t="shared" si="1"/>
        <v>-6572545.68</v>
      </c>
      <c r="K15" s="130">
        <v>8411877.02</v>
      </c>
      <c r="L15" s="87">
        <f aca="true" t="shared" si="3" ref="L15:L96">IF(K15=0,0,F15-K15)</f>
        <v>309467.30000000075</v>
      </c>
      <c r="M15" s="89">
        <f aca="true" t="shared" si="4" ref="M15:M96">IF(K15=0,0,F15/K15*100)</f>
        <v>103.67893276689868</v>
      </c>
    </row>
    <row r="16" spans="1:13" s="10" customFormat="1" ht="75.75" customHeight="1">
      <c r="A16" s="9">
        <v>11010200</v>
      </c>
      <c r="B16" s="17" t="s">
        <v>58</v>
      </c>
      <c r="C16" s="112">
        <v>1200000</v>
      </c>
      <c r="D16" s="112">
        <v>1200000</v>
      </c>
      <c r="E16" s="123">
        <v>750000</v>
      </c>
      <c r="F16" s="123">
        <v>878878.19</v>
      </c>
      <c r="G16" s="7">
        <f>F16/E16%</f>
        <v>117.18375866666666</v>
      </c>
      <c r="H16" s="7">
        <f t="shared" si="2"/>
        <v>73.23984916666666</v>
      </c>
      <c r="I16" s="8">
        <f t="shared" si="0"/>
        <v>128878.18999999994</v>
      </c>
      <c r="J16" s="8">
        <f t="shared" si="1"/>
        <v>-321121.81000000006</v>
      </c>
      <c r="K16" s="130">
        <v>715062.02</v>
      </c>
      <c r="L16" s="87">
        <f t="shared" si="3"/>
        <v>163816.16999999993</v>
      </c>
      <c r="M16" s="89">
        <f t="shared" si="4"/>
        <v>122.9093652603728</v>
      </c>
    </row>
    <row r="17" spans="1:13" s="10" customFormat="1" ht="42.75" customHeight="1">
      <c r="A17" s="9">
        <v>11010400</v>
      </c>
      <c r="B17" s="17" t="s">
        <v>53</v>
      </c>
      <c r="C17" s="112">
        <v>5500000</v>
      </c>
      <c r="D17" s="112">
        <v>5500000</v>
      </c>
      <c r="E17" s="123">
        <v>1665450</v>
      </c>
      <c r="F17" s="123">
        <v>2145106.39</v>
      </c>
      <c r="G17" s="7">
        <f>F17/E17%</f>
        <v>128.80040769761928</v>
      </c>
      <c r="H17" s="7">
        <f t="shared" si="2"/>
        <v>39.001934363636366</v>
      </c>
      <c r="I17" s="8">
        <f t="shared" si="0"/>
        <v>479656.39000000013</v>
      </c>
      <c r="J17" s="8">
        <f t="shared" si="1"/>
        <v>-3354893.61</v>
      </c>
      <c r="K17" s="130">
        <v>1749776.03</v>
      </c>
      <c r="L17" s="87">
        <f t="shared" si="3"/>
        <v>395330.3600000001</v>
      </c>
      <c r="M17" s="89">
        <f t="shared" si="4"/>
        <v>122.59319782772428</v>
      </c>
    </row>
    <row r="18" spans="1:13" s="10" customFormat="1" ht="37.5" customHeight="1">
      <c r="A18" s="9">
        <v>11010500</v>
      </c>
      <c r="B18" s="17" t="s">
        <v>51</v>
      </c>
      <c r="C18" s="112">
        <v>350000</v>
      </c>
      <c r="D18" s="112">
        <v>350000</v>
      </c>
      <c r="E18" s="123">
        <v>288000</v>
      </c>
      <c r="F18" s="123">
        <v>286132.07</v>
      </c>
      <c r="G18" s="7">
        <f>F18/E18%</f>
        <v>99.35141319444445</v>
      </c>
      <c r="H18" s="7">
        <f t="shared" si="2"/>
        <v>81.75202</v>
      </c>
      <c r="I18" s="8">
        <f t="shared" si="0"/>
        <v>-1867.929999999993</v>
      </c>
      <c r="J18" s="8">
        <f t="shared" si="1"/>
        <v>-63867.92999999999</v>
      </c>
      <c r="K18" s="130">
        <v>284729.82</v>
      </c>
      <c r="L18" s="87">
        <f t="shared" si="3"/>
        <v>1402.25</v>
      </c>
      <c r="M18" s="89">
        <f t="shared" si="4"/>
        <v>100.49248441908894</v>
      </c>
    </row>
    <row r="19" spans="1:13" s="32" customFormat="1" ht="20.25" customHeight="1">
      <c r="A19" s="15">
        <v>11020000</v>
      </c>
      <c r="B19" s="16" t="s">
        <v>30</v>
      </c>
      <c r="C19" s="97">
        <f>C20</f>
        <v>0</v>
      </c>
      <c r="D19" s="97">
        <f>D20</f>
        <v>0</v>
      </c>
      <c r="E19" s="97">
        <f>E20</f>
        <v>0</v>
      </c>
      <c r="F19" s="97">
        <f>F20</f>
        <v>1561</v>
      </c>
      <c r="G19" s="46">
        <f>IF(E19=0,0,F19/E19%)</f>
        <v>0</v>
      </c>
      <c r="H19" s="46">
        <f t="shared" si="2"/>
        <v>0</v>
      </c>
      <c r="I19" s="30">
        <f t="shared" si="0"/>
        <v>1561</v>
      </c>
      <c r="J19" s="30">
        <f t="shared" si="1"/>
        <v>1561</v>
      </c>
      <c r="K19" s="127">
        <f>SUM(K20)</f>
        <v>2036</v>
      </c>
      <c r="L19" s="77">
        <f>F19-K19</f>
        <v>-475</v>
      </c>
      <c r="M19" s="88">
        <f t="shared" si="4"/>
        <v>76.66994106090374</v>
      </c>
    </row>
    <row r="20" spans="1:13" s="10" customFormat="1" ht="39" customHeight="1">
      <c r="A20" s="9">
        <v>11020200</v>
      </c>
      <c r="B20" s="17" t="s">
        <v>43</v>
      </c>
      <c r="C20" s="98">
        <v>0</v>
      </c>
      <c r="D20" s="98"/>
      <c r="E20" s="98"/>
      <c r="F20" s="99">
        <v>1561</v>
      </c>
      <c r="G20" s="7">
        <f aca="true" t="shared" si="5" ref="G20:G139">IF(E20=0,0,F20/E20%)</f>
        <v>0</v>
      </c>
      <c r="H20" s="7">
        <f t="shared" si="2"/>
        <v>0</v>
      </c>
      <c r="I20" s="8">
        <f aca="true" t="shared" si="6" ref="I20:I86">F20-E20</f>
        <v>1561</v>
      </c>
      <c r="J20" s="8">
        <f t="shared" si="1"/>
        <v>1561</v>
      </c>
      <c r="K20" s="78">
        <v>2036</v>
      </c>
      <c r="L20" s="77">
        <f>F20-K20</f>
        <v>-475</v>
      </c>
      <c r="M20" s="89">
        <f t="shared" si="4"/>
        <v>76.66994106090374</v>
      </c>
    </row>
    <row r="21" spans="1:14" s="32" customFormat="1" ht="23.25" customHeight="1">
      <c r="A21" s="15">
        <v>13010000</v>
      </c>
      <c r="B21" s="19" t="s">
        <v>79</v>
      </c>
      <c r="C21" s="97">
        <f>C22+C23</f>
        <v>1400000</v>
      </c>
      <c r="D21" s="97">
        <f>D22+D23</f>
        <v>1400000</v>
      </c>
      <c r="E21" s="97">
        <f>E22+E23</f>
        <v>500000</v>
      </c>
      <c r="F21" s="97">
        <f>F22+F23</f>
        <v>294321.9</v>
      </c>
      <c r="G21" s="46">
        <f t="shared" si="5"/>
        <v>58.864380000000004</v>
      </c>
      <c r="H21" s="46">
        <f t="shared" si="2"/>
        <v>21.02299285714286</v>
      </c>
      <c r="I21" s="30">
        <f t="shared" si="6"/>
        <v>-205678.09999999998</v>
      </c>
      <c r="J21" s="30">
        <f t="shared" si="1"/>
        <v>-1105678.1</v>
      </c>
      <c r="K21" s="90">
        <f>SUM(K22+K23)</f>
        <v>545912.77</v>
      </c>
      <c r="L21" s="77">
        <f t="shared" si="3"/>
        <v>-251590.87</v>
      </c>
      <c r="M21" s="88">
        <f t="shared" si="4"/>
        <v>53.913723249228994</v>
      </c>
      <c r="N21" s="80"/>
    </row>
    <row r="22" spans="1:13" s="10" customFormat="1" ht="51" customHeight="1">
      <c r="A22" s="9">
        <v>13010100</v>
      </c>
      <c r="B22" s="17" t="s">
        <v>233</v>
      </c>
      <c r="C22" s="98">
        <v>400000</v>
      </c>
      <c r="D22" s="98">
        <v>400000</v>
      </c>
      <c r="E22" s="123">
        <v>200000</v>
      </c>
      <c r="F22" s="123">
        <v>143839.23</v>
      </c>
      <c r="G22" s="7">
        <f t="shared" si="5"/>
        <v>71.91961500000001</v>
      </c>
      <c r="H22" s="7">
        <f t="shared" si="2"/>
        <v>35.959807500000004</v>
      </c>
      <c r="I22" s="8">
        <f t="shared" si="6"/>
        <v>-56160.76999999999</v>
      </c>
      <c r="J22" s="8">
        <f t="shared" si="1"/>
        <v>-256160.77</v>
      </c>
      <c r="K22" s="130">
        <v>204457.07</v>
      </c>
      <c r="L22" s="87">
        <f t="shared" si="3"/>
        <v>-60617.84</v>
      </c>
      <c r="M22" s="89">
        <f t="shared" si="4"/>
        <v>70.35180050266787</v>
      </c>
    </row>
    <row r="23" spans="1:13" s="10" customFormat="1" ht="58.5" customHeight="1">
      <c r="A23" s="9">
        <v>13010200</v>
      </c>
      <c r="B23" s="17" t="s">
        <v>80</v>
      </c>
      <c r="C23" s="98">
        <v>1000000</v>
      </c>
      <c r="D23" s="98">
        <v>1000000</v>
      </c>
      <c r="E23" s="123">
        <v>300000</v>
      </c>
      <c r="F23" s="123">
        <v>150482.67</v>
      </c>
      <c r="G23" s="7">
        <f>IF(E23=0,0,F23/E23%)</f>
        <v>50.16089</v>
      </c>
      <c r="H23" s="7">
        <f>IF(D23=0,0,F23/D23%)</f>
        <v>15.048267000000001</v>
      </c>
      <c r="I23" s="8">
        <f>F23-E23</f>
        <v>-149517.33</v>
      </c>
      <c r="J23" s="8">
        <f>F23-D23</f>
        <v>-849517.33</v>
      </c>
      <c r="K23" s="130">
        <v>341455.7</v>
      </c>
      <c r="L23" s="87">
        <f>IF(K23=0,0,F23-K23)</f>
        <v>-190973.03</v>
      </c>
      <c r="M23" s="89">
        <f>IF(K23=0,0,F23/K23*100)</f>
        <v>44.070920473724705</v>
      </c>
    </row>
    <row r="24" spans="1:13" s="32" customFormat="1" ht="27" customHeight="1">
      <c r="A24" s="15">
        <v>13030000</v>
      </c>
      <c r="B24" s="19" t="s">
        <v>81</v>
      </c>
      <c r="C24" s="97">
        <f>C26+C27+C25</f>
        <v>650000</v>
      </c>
      <c r="D24" s="97">
        <f>D26+D27+D25</f>
        <v>650000</v>
      </c>
      <c r="E24" s="97">
        <f>E26+E27+E25</f>
        <v>519250</v>
      </c>
      <c r="F24" s="97">
        <f>F26+F27+F25</f>
        <v>535416.04</v>
      </c>
      <c r="G24" s="46">
        <f t="shared" si="5"/>
        <v>103.1133442465094</v>
      </c>
      <c r="H24" s="46">
        <f t="shared" si="2"/>
        <v>82.37169846153847</v>
      </c>
      <c r="I24" s="30">
        <f t="shared" si="6"/>
        <v>16166.040000000037</v>
      </c>
      <c r="J24" s="30">
        <f t="shared" si="1"/>
        <v>-114583.95999999996</v>
      </c>
      <c r="K24" s="90">
        <f>SUM(K25:K27)</f>
        <v>445451.71</v>
      </c>
      <c r="L24" s="77">
        <f t="shared" si="3"/>
        <v>89964.33000000002</v>
      </c>
      <c r="M24" s="88">
        <f t="shared" si="4"/>
        <v>120.19620263664494</v>
      </c>
    </row>
    <row r="25" spans="1:13" s="10" customFormat="1" ht="42" customHeight="1">
      <c r="A25" s="9">
        <v>13030100</v>
      </c>
      <c r="B25" s="17" t="s">
        <v>230</v>
      </c>
      <c r="C25" s="98">
        <v>3000</v>
      </c>
      <c r="D25" s="98">
        <v>3000</v>
      </c>
      <c r="E25" s="123">
        <v>2250</v>
      </c>
      <c r="F25" s="123">
        <v>1810.22</v>
      </c>
      <c r="G25" s="7">
        <f>IF(E25=0,0,F25/E25%)</f>
        <v>80.45422222222223</v>
      </c>
      <c r="H25" s="7">
        <f>IF(D25=0,0,F25/D25%)</f>
        <v>60.34066666666667</v>
      </c>
      <c r="I25" s="8">
        <f>F25-E25</f>
        <v>-439.78</v>
      </c>
      <c r="J25" s="8">
        <f>F25-D25</f>
        <v>-1189.78</v>
      </c>
      <c r="K25" s="130">
        <v>2063.15</v>
      </c>
      <c r="L25" s="87">
        <f>F25-K25</f>
        <v>-252.93000000000006</v>
      </c>
      <c r="M25" s="89">
        <f>IF(K25=0,0,F25/K25*100)</f>
        <v>87.74059084409761</v>
      </c>
    </row>
    <row r="26" spans="1:13" s="10" customFormat="1" ht="39" customHeight="1">
      <c r="A26" s="9">
        <v>13030800</v>
      </c>
      <c r="B26" s="17" t="s">
        <v>82</v>
      </c>
      <c r="C26" s="112">
        <v>587000</v>
      </c>
      <c r="D26" s="112">
        <v>587000</v>
      </c>
      <c r="E26" s="123">
        <v>477000</v>
      </c>
      <c r="F26" s="123">
        <v>476114.14</v>
      </c>
      <c r="G26" s="7">
        <f t="shared" si="5"/>
        <v>99.81428511530399</v>
      </c>
      <c r="H26" s="7">
        <f t="shared" si="2"/>
        <v>81.10973424190801</v>
      </c>
      <c r="I26" s="8">
        <f t="shared" si="6"/>
        <v>-885.859999999986</v>
      </c>
      <c r="J26" s="8">
        <f t="shared" si="1"/>
        <v>-110885.85999999999</v>
      </c>
      <c r="K26" s="130">
        <v>406416.29</v>
      </c>
      <c r="L26" s="87">
        <f t="shared" si="3"/>
        <v>69697.85000000003</v>
      </c>
      <c r="M26" s="89">
        <f t="shared" si="4"/>
        <v>117.14937410604284</v>
      </c>
    </row>
    <row r="27" spans="1:13" s="10" customFormat="1" ht="43.5" customHeight="1">
      <c r="A27" s="9">
        <v>13030900</v>
      </c>
      <c r="B27" s="17" t="s">
        <v>83</v>
      </c>
      <c r="C27" s="112">
        <v>60000</v>
      </c>
      <c r="D27" s="112">
        <v>60000</v>
      </c>
      <c r="E27" s="123">
        <v>40000</v>
      </c>
      <c r="F27" s="123">
        <v>57491.68</v>
      </c>
      <c r="G27" s="7">
        <f t="shared" si="5"/>
        <v>143.7292</v>
      </c>
      <c r="H27" s="7">
        <f t="shared" si="2"/>
        <v>95.81946666666667</v>
      </c>
      <c r="I27" s="8">
        <f t="shared" si="6"/>
        <v>17491.68</v>
      </c>
      <c r="J27" s="8">
        <f t="shared" si="1"/>
        <v>-2508.3199999999997</v>
      </c>
      <c r="K27" s="130">
        <v>36972.27</v>
      </c>
      <c r="L27" s="87">
        <f t="shared" si="3"/>
        <v>20519.410000000003</v>
      </c>
      <c r="M27" s="89">
        <f t="shared" si="4"/>
        <v>155.49945945975188</v>
      </c>
    </row>
    <row r="28" spans="1:14" s="32" customFormat="1" ht="42.75" customHeight="1">
      <c r="A28" s="15">
        <v>14020000</v>
      </c>
      <c r="B28" s="19" t="s">
        <v>175</v>
      </c>
      <c r="C28" s="97">
        <f>C29</f>
        <v>70000</v>
      </c>
      <c r="D28" s="97">
        <f>D29</f>
        <v>70000</v>
      </c>
      <c r="E28" s="97">
        <f>E29</f>
        <v>46400</v>
      </c>
      <c r="F28" s="97">
        <f>F29</f>
        <v>85895.29</v>
      </c>
      <c r="G28" s="46">
        <f t="shared" si="5"/>
        <v>185.11915948275862</v>
      </c>
      <c r="H28" s="46">
        <f t="shared" si="2"/>
        <v>122.70755714285714</v>
      </c>
      <c r="I28" s="30">
        <f t="shared" si="6"/>
        <v>39495.28999999999</v>
      </c>
      <c r="J28" s="30">
        <f t="shared" si="1"/>
        <v>15895.289999999994</v>
      </c>
      <c r="K28" s="90">
        <f>SUM(K29)</f>
        <v>47674.13</v>
      </c>
      <c r="L28" s="77">
        <f t="shared" si="3"/>
        <v>38221.159999999996</v>
      </c>
      <c r="M28" s="88">
        <f t="shared" si="4"/>
        <v>180.17169899062657</v>
      </c>
      <c r="N28" s="80"/>
    </row>
    <row r="29" spans="1:13" s="10" customFormat="1" ht="24.75" customHeight="1">
      <c r="A29" s="9">
        <v>14021900</v>
      </c>
      <c r="B29" s="17" t="s">
        <v>117</v>
      </c>
      <c r="C29" s="98">
        <v>70000</v>
      </c>
      <c r="D29" s="98">
        <v>70000</v>
      </c>
      <c r="E29" s="123">
        <v>46400</v>
      </c>
      <c r="F29" s="123">
        <v>85895.29</v>
      </c>
      <c r="G29" s="7">
        <f t="shared" si="5"/>
        <v>185.11915948275862</v>
      </c>
      <c r="H29" s="7">
        <f t="shared" si="2"/>
        <v>122.70755714285714</v>
      </c>
      <c r="I29" s="8">
        <f t="shared" si="6"/>
        <v>39495.28999999999</v>
      </c>
      <c r="J29" s="8">
        <f t="shared" si="1"/>
        <v>15895.289999999994</v>
      </c>
      <c r="K29" s="125">
        <v>47674.13</v>
      </c>
      <c r="L29" s="87">
        <f t="shared" si="3"/>
        <v>38221.159999999996</v>
      </c>
      <c r="M29" s="89">
        <f t="shared" si="4"/>
        <v>180.17169899062657</v>
      </c>
    </row>
    <row r="30" spans="1:13" s="32" customFormat="1" ht="37.5" customHeight="1">
      <c r="A30" s="20">
        <v>14030000</v>
      </c>
      <c r="B30" s="70" t="s">
        <v>174</v>
      </c>
      <c r="C30" s="97">
        <f>C31</f>
        <v>350000</v>
      </c>
      <c r="D30" s="97">
        <f>D31</f>
        <v>350000</v>
      </c>
      <c r="E30" s="97">
        <f>E31</f>
        <v>232000</v>
      </c>
      <c r="F30" s="97">
        <f>F31</f>
        <v>301563.23</v>
      </c>
      <c r="G30" s="46">
        <f t="shared" si="5"/>
        <v>129.98415086206896</v>
      </c>
      <c r="H30" s="46">
        <f t="shared" si="2"/>
        <v>86.16092285714285</v>
      </c>
      <c r="I30" s="30">
        <f t="shared" si="6"/>
        <v>69563.22999999998</v>
      </c>
      <c r="J30" s="30">
        <f t="shared" si="1"/>
        <v>-48436.77000000002</v>
      </c>
      <c r="K30" s="90">
        <f>SUM(K31)</f>
        <v>185775.27</v>
      </c>
      <c r="L30" s="77">
        <f t="shared" si="3"/>
        <v>115787.95999999999</v>
      </c>
      <c r="M30" s="88">
        <f t="shared" si="4"/>
        <v>162.32689636247065</v>
      </c>
    </row>
    <row r="31" spans="1:13" s="10" customFormat="1" ht="24.75" customHeight="1">
      <c r="A31" s="9">
        <v>14031900</v>
      </c>
      <c r="B31" s="17" t="s">
        <v>117</v>
      </c>
      <c r="C31" s="98">
        <v>350000</v>
      </c>
      <c r="D31" s="98">
        <v>350000</v>
      </c>
      <c r="E31" s="123">
        <v>232000</v>
      </c>
      <c r="F31" s="123">
        <v>301563.23</v>
      </c>
      <c r="G31" s="7">
        <f t="shared" si="5"/>
        <v>129.98415086206896</v>
      </c>
      <c r="H31" s="7">
        <f t="shared" si="2"/>
        <v>86.16092285714285</v>
      </c>
      <c r="I31" s="8">
        <f t="shared" si="6"/>
        <v>69563.22999999998</v>
      </c>
      <c r="J31" s="8">
        <f t="shared" si="1"/>
        <v>-48436.77000000002</v>
      </c>
      <c r="K31" s="125">
        <v>185775.27</v>
      </c>
      <c r="L31" s="87">
        <f t="shared" si="3"/>
        <v>115787.95999999999</v>
      </c>
      <c r="M31" s="89">
        <f t="shared" si="4"/>
        <v>162.32689636247065</v>
      </c>
    </row>
    <row r="32" spans="1:13" s="32" customFormat="1" ht="38.25" customHeight="1">
      <c r="A32" s="15">
        <v>14040000</v>
      </c>
      <c r="B32" s="21" t="s">
        <v>84</v>
      </c>
      <c r="C32" s="97">
        <v>70000</v>
      </c>
      <c r="D32" s="97">
        <v>70000</v>
      </c>
      <c r="E32" s="124">
        <v>46000</v>
      </c>
      <c r="F32" s="124">
        <v>41817.28</v>
      </c>
      <c r="G32" s="46">
        <f t="shared" si="5"/>
        <v>90.9071304347826</v>
      </c>
      <c r="H32" s="46">
        <f t="shared" si="2"/>
        <v>59.738971428571425</v>
      </c>
      <c r="I32" s="30">
        <f t="shared" si="6"/>
        <v>-4182.720000000001</v>
      </c>
      <c r="J32" s="30">
        <f t="shared" si="1"/>
        <v>-28182.72</v>
      </c>
      <c r="K32" s="130">
        <v>46928.06</v>
      </c>
      <c r="L32" s="77">
        <f t="shared" si="3"/>
        <v>-5110.779999999999</v>
      </c>
      <c r="M32" s="88">
        <f t="shared" si="4"/>
        <v>89.10933032390429</v>
      </c>
    </row>
    <row r="33" spans="1:13" s="32" customFormat="1" ht="24" customHeight="1">
      <c r="A33" s="15">
        <v>18010000</v>
      </c>
      <c r="B33" s="21" t="s">
        <v>85</v>
      </c>
      <c r="C33" s="97">
        <f>C35+C36+C37+C38+C40+C41+C42+C43+C45+C44</f>
        <v>16535000</v>
      </c>
      <c r="D33" s="97">
        <f>SUM(D39,D34,D44,D45)</f>
        <v>16535000</v>
      </c>
      <c r="E33" s="97">
        <f>SUM(E39,E34,E44,E45)</f>
        <v>10680550</v>
      </c>
      <c r="F33" s="97">
        <f>SUM(F39,F34,F44,F45)</f>
        <v>9993845.049999999</v>
      </c>
      <c r="G33" s="46">
        <f t="shared" si="5"/>
        <v>93.57050947750817</v>
      </c>
      <c r="H33" s="46">
        <f t="shared" si="2"/>
        <v>60.44055065013607</v>
      </c>
      <c r="I33" s="30">
        <f t="shared" si="6"/>
        <v>-686704.9500000011</v>
      </c>
      <c r="J33" s="30">
        <f t="shared" si="1"/>
        <v>-6541154.950000001</v>
      </c>
      <c r="K33" s="90">
        <f>SUM(K39,K34,K44:K45)</f>
        <v>10221817.530000003</v>
      </c>
      <c r="L33" s="77">
        <f t="shared" si="3"/>
        <v>-227972.48000000417</v>
      </c>
      <c r="M33" s="88">
        <f t="shared" si="4"/>
        <v>97.76974614024435</v>
      </c>
    </row>
    <row r="34" spans="1:13" s="32" customFormat="1" ht="24" customHeight="1">
      <c r="A34" s="15"/>
      <c r="B34" s="21" t="s">
        <v>242</v>
      </c>
      <c r="C34" s="97">
        <f>SUM(C35:C38)</f>
        <v>585000</v>
      </c>
      <c r="D34" s="97">
        <f>SUM(D35:D38)</f>
        <v>585000</v>
      </c>
      <c r="E34" s="97">
        <f>SUM(E35:E38)</f>
        <v>398800</v>
      </c>
      <c r="F34" s="97">
        <f>SUM(F35:F38)</f>
        <v>476055.76</v>
      </c>
      <c r="G34" s="46">
        <f>IF(E34=0,0,F34/E34%)</f>
        <v>119.37205616850552</v>
      </c>
      <c r="H34" s="46">
        <f>IF(D34=0,0,F34/D34%)</f>
        <v>81.377052991453</v>
      </c>
      <c r="I34" s="30">
        <f>F34-E34</f>
        <v>77255.76000000001</v>
      </c>
      <c r="J34" s="30">
        <f>F34-D34</f>
        <v>-108944.23999999999</v>
      </c>
      <c r="K34" s="90">
        <f>SUM(K35:K38)</f>
        <v>422656.07999999996</v>
      </c>
      <c r="L34" s="77">
        <f>IF(K34=0,0,F34-K34)</f>
        <v>53399.68000000005</v>
      </c>
      <c r="M34" s="88">
        <f>IF(K34=0,0,F34/K34*100)</f>
        <v>112.63431014644343</v>
      </c>
    </row>
    <row r="35" spans="1:15" s="10" customFormat="1" ht="41.25" customHeight="1">
      <c r="A35" s="9">
        <v>18010100</v>
      </c>
      <c r="B35" s="22" t="s">
        <v>86</v>
      </c>
      <c r="C35" s="112">
        <v>59500</v>
      </c>
      <c r="D35" s="112">
        <v>59500</v>
      </c>
      <c r="E35" s="123">
        <v>40800</v>
      </c>
      <c r="F35" s="123">
        <v>43584.2</v>
      </c>
      <c r="G35" s="7">
        <f t="shared" si="5"/>
        <v>106.82401960784313</v>
      </c>
      <c r="H35" s="7">
        <f t="shared" si="2"/>
        <v>73.250756302521</v>
      </c>
      <c r="I35" s="8">
        <f t="shared" si="6"/>
        <v>2784.199999999997</v>
      </c>
      <c r="J35" s="8">
        <f t="shared" si="1"/>
        <v>-15915.800000000003</v>
      </c>
      <c r="K35" s="130">
        <v>28074.21</v>
      </c>
      <c r="L35" s="87">
        <f t="shared" si="3"/>
        <v>15509.989999999998</v>
      </c>
      <c r="M35" s="89">
        <f t="shared" si="4"/>
        <v>155.24639874105094</v>
      </c>
      <c r="O35" s="81"/>
    </row>
    <row r="36" spans="1:13" s="10" customFormat="1" ht="41.25" customHeight="1">
      <c r="A36" s="9">
        <v>18010200</v>
      </c>
      <c r="B36" s="22" t="s">
        <v>87</v>
      </c>
      <c r="C36" s="112">
        <v>5500</v>
      </c>
      <c r="D36" s="112">
        <v>5500</v>
      </c>
      <c r="E36" s="123">
        <v>5500</v>
      </c>
      <c r="F36" s="123">
        <v>14714.92</v>
      </c>
      <c r="G36" s="7">
        <f t="shared" si="5"/>
        <v>267.544</v>
      </c>
      <c r="H36" s="7">
        <f t="shared" si="2"/>
        <v>267.544</v>
      </c>
      <c r="I36" s="8">
        <f t="shared" si="6"/>
        <v>9214.92</v>
      </c>
      <c r="J36" s="8">
        <f t="shared" si="1"/>
        <v>9214.92</v>
      </c>
      <c r="K36" s="130">
        <v>4347.69</v>
      </c>
      <c r="L36" s="87">
        <f t="shared" si="3"/>
        <v>10367.23</v>
      </c>
      <c r="M36" s="89">
        <f t="shared" si="4"/>
        <v>338.4537536024878</v>
      </c>
    </row>
    <row r="37" spans="1:13" s="10" customFormat="1" ht="41.25" customHeight="1">
      <c r="A37" s="9">
        <v>18010300</v>
      </c>
      <c r="B37" s="22" t="s">
        <v>88</v>
      </c>
      <c r="C37" s="112">
        <v>120000</v>
      </c>
      <c r="D37" s="112">
        <v>120000</v>
      </c>
      <c r="E37" s="123">
        <v>90000</v>
      </c>
      <c r="F37" s="123">
        <v>66796.39</v>
      </c>
      <c r="G37" s="7">
        <f t="shared" si="5"/>
        <v>74.21821111111112</v>
      </c>
      <c r="H37" s="7">
        <f t="shared" si="2"/>
        <v>55.66365833333333</v>
      </c>
      <c r="I37" s="8">
        <f t="shared" si="6"/>
        <v>-23203.61</v>
      </c>
      <c r="J37" s="8">
        <f t="shared" si="1"/>
        <v>-53203.61</v>
      </c>
      <c r="K37" s="130">
        <v>94370.76</v>
      </c>
      <c r="L37" s="87">
        <f t="shared" si="3"/>
        <v>-27574.369999999995</v>
      </c>
      <c r="M37" s="89">
        <f t="shared" si="4"/>
        <v>70.78081176839098</v>
      </c>
    </row>
    <row r="38" spans="1:13" s="10" customFormat="1" ht="41.25" customHeight="1">
      <c r="A38" s="9">
        <v>18010400</v>
      </c>
      <c r="B38" s="22" t="s">
        <v>89</v>
      </c>
      <c r="C38" s="112">
        <v>400000</v>
      </c>
      <c r="D38" s="112">
        <v>400000</v>
      </c>
      <c r="E38" s="123">
        <v>262500</v>
      </c>
      <c r="F38" s="123">
        <v>350960.25</v>
      </c>
      <c r="G38" s="7">
        <f t="shared" si="5"/>
        <v>133.69914285714285</v>
      </c>
      <c r="H38" s="7">
        <f t="shared" si="2"/>
        <v>87.7400625</v>
      </c>
      <c r="I38" s="8">
        <f t="shared" si="6"/>
        <v>88460.25</v>
      </c>
      <c r="J38" s="8">
        <f t="shared" si="1"/>
        <v>-49039.75</v>
      </c>
      <c r="K38" s="130">
        <v>295863.42</v>
      </c>
      <c r="L38" s="87">
        <f t="shared" si="3"/>
        <v>55096.830000000016</v>
      </c>
      <c r="M38" s="89">
        <f t="shared" si="4"/>
        <v>118.62238664043024</v>
      </c>
    </row>
    <row r="39" spans="1:13" s="32" customFormat="1" ht="24" customHeight="1">
      <c r="A39" s="15"/>
      <c r="B39" s="79" t="s">
        <v>260</v>
      </c>
      <c r="C39" s="114">
        <f>SUM(C40:C43)</f>
        <v>15900000</v>
      </c>
      <c r="D39" s="114">
        <f>SUM(D40:D43)</f>
        <v>15900000</v>
      </c>
      <c r="E39" s="114">
        <f>SUM(E40:E43)</f>
        <v>10238000</v>
      </c>
      <c r="F39" s="114">
        <f>SUM(F40:F43)</f>
        <v>9471289.29</v>
      </c>
      <c r="G39" s="46">
        <f>IF(E39=0,0,F39/E39%)</f>
        <v>92.51112805235397</v>
      </c>
      <c r="H39" s="46">
        <f>IF(D39=0,0,F39/D39%)</f>
        <v>59.56785716981131</v>
      </c>
      <c r="I39" s="30">
        <f>F39-E39</f>
        <v>-766710.7100000009</v>
      </c>
      <c r="J39" s="30">
        <f>F39-D39</f>
        <v>-6428710.710000001</v>
      </c>
      <c r="K39" s="105">
        <f>SUM(K40:K43)</f>
        <v>9711661.450000003</v>
      </c>
      <c r="L39" s="77">
        <f>IF(K39=0,0,F39-K39)</f>
        <v>-240372.16000000387</v>
      </c>
      <c r="M39" s="88">
        <f>IF(K39=0,0,F39/K39*100)</f>
        <v>97.52491207361842</v>
      </c>
    </row>
    <row r="40" spans="1:13" s="10" customFormat="1" ht="23.25" customHeight="1">
      <c r="A40" s="9">
        <v>18010500</v>
      </c>
      <c r="B40" s="23" t="s">
        <v>90</v>
      </c>
      <c r="C40" s="112">
        <v>1100000</v>
      </c>
      <c r="D40" s="112">
        <v>1100000</v>
      </c>
      <c r="E40" s="123">
        <v>658000</v>
      </c>
      <c r="F40" s="123">
        <v>423868.09</v>
      </c>
      <c r="G40" s="7">
        <f t="shared" si="5"/>
        <v>64.41764285714287</v>
      </c>
      <c r="H40" s="7">
        <f t="shared" si="2"/>
        <v>38.53346272727273</v>
      </c>
      <c r="I40" s="8">
        <f t="shared" si="6"/>
        <v>-234131.90999999997</v>
      </c>
      <c r="J40" s="8">
        <f t="shared" si="1"/>
        <v>-676131.9099999999</v>
      </c>
      <c r="K40" s="130">
        <v>617074.58</v>
      </c>
      <c r="L40" s="87">
        <f t="shared" si="3"/>
        <v>-193206.48999999993</v>
      </c>
      <c r="M40" s="89">
        <f t="shared" si="4"/>
        <v>68.68992885754588</v>
      </c>
    </row>
    <row r="41" spans="1:13" s="10" customFormat="1" ht="21.75" customHeight="1">
      <c r="A41" s="9">
        <v>18010600</v>
      </c>
      <c r="B41" s="23" t="s">
        <v>91</v>
      </c>
      <c r="C41" s="112">
        <v>12000000</v>
      </c>
      <c r="D41" s="112">
        <v>12000000</v>
      </c>
      <c r="E41" s="123">
        <v>7500000</v>
      </c>
      <c r="F41" s="123">
        <v>6862130.38</v>
      </c>
      <c r="G41" s="7">
        <f t="shared" si="5"/>
        <v>91.49507173333333</v>
      </c>
      <c r="H41" s="7">
        <f t="shared" si="2"/>
        <v>57.18441983333333</v>
      </c>
      <c r="I41" s="8">
        <f t="shared" si="6"/>
        <v>-637869.6200000001</v>
      </c>
      <c r="J41" s="8">
        <f t="shared" si="1"/>
        <v>-5137869.62</v>
      </c>
      <c r="K41" s="130">
        <v>7093225.990000001</v>
      </c>
      <c r="L41" s="87">
        <f t="shared" si="3"/>
        <v>-231095.61000000127</v>
      </c>
      <c r="M41" s="89">
        <f t="shared" si="4"/>
        <v>96.7420238643771</v>
      </c>
    </row>
    <row r="42" spans="1:13" s="10" customFormat="1" ht="25.5" customHeight="1">
      <c r="A42" s="9">
        <v>18010700</v>
      </c>
      <c r="B42" s="23" t="s">
        <v>92</v>
      </c>
      <c r="C42" s="112">
        <v>1100000</v>
      </c>
      <c r="D42" s="112">
        <v>1100000</v>
      </c>
      <c r="E42" s="123">
        <v>900000</v>
      </c>
      <c r="F42" s="123">
        <v>952801.05</v>
      </c>
      <c r="G42" s="7">
        <f t="shared" si="5"/>
        <v>105.86678333333334</v>
      </c>
      <c r="H42" s="7">
        <f t="shared" si="2"/>
        <v>86.61827727272728</v>
      </c>
      <c r="I42" s="8">
        <f t="shared" si="6"/>
        <v>52801.05000000005</v>
      </c>
      <c r="J42" s="8">
        <f t="shared" si="1"/>
        <v>-147198.94999999995</v>
      </c>
      <c r="K42" s="130">
        <v>846637.76</v>
      </c>
      <c r="L42" s="87">
        <f t="shared" si="3"/>
        <v>106163.29000000004</v>
      </c>
      <c r="M42" s="89">
        <f t="shared" si="4"/>
        <v>112.53939937665905</v>
      </c>
    </row>
    <row r="43" spans="1:13" s="10" customFormat="1" ht="27" customHeight="1">
      <c r="A43" s="9">
        <v>18010900</v>
      </c>
      <c r="B43" s="24" t="s">
        <v>93</v>
      </c>
      <c r="C43" s="112">
        <v>1700000</v>
      </c>
      <c r="D43" s="112">
        <v>1700000</v>
      </c>
      <c r="E43" s="123">
        <v>1180000</v>
      </c>
      <c r="F43" s="123">
        <v>1232489.77</v>
      </c>
      <c r="G43" s="7">
        <f t="shared" si="5"/>
        <v>104.44828559322033</v>
      </c>
      <c r="H43" s="7">
        <f t="shared" si="2"/>
        <v>72.49939823529412</v>
      </c>
      <c r="I43" s="8">
        <f t="shared" si="6"/>
        <v>52489.77000000002</v>
      </c>
      <c r="J43" s="8">
        <f t="shared" si="1"/>
        <v>-467510.23</v>
      </c>
      <c r="K43" s="130">
        <v>1154723.12</v>
      </c>
      <c r="L43" s="87">
        <f t="shared" si="3"/>
        <v>77766.6499999999</v>
      </c>
      <c r="M43" s="89">
        <f t="shared" si="4"/>
        <v>106.73465774202218</v>
      </c>
    </row>
    <row r="44" spans="1:15" s="10" customFormat="1" ht="27" customHeight="1">
      <c r="A44" s="9">
        <v>18011000</v>
      </c>
      <c r="B44" s="24" t="s">
        <v>118</v>
      </c>
      <c r="C44" s="112">
        <v>25000</v>
      </c>
      <c r="D44" s="112">
        <v>25000</v>
      </c>
      <c r="E44" s="123">
        <v>25000</v>
      </c>
      <c r="F44" s="123">
        <v>0</v>
      </c>
      <c r="G44" s="7">
        <f t="shared" si="5"/>
        <v>0</v>
      </c>
      <c r="H44" s="7">
        <f t="shared" si="2"/>
        <v>0</v>
      </c>
      <c r="I44" s="8">
        <f t="shared" si="6"/>
        <v>-25000</v>
      </c>
      <c r="J44" s="8">
        <f t="shared" si="1"/>
        <v>-25000</v>
      </c>
      <c r="K44" s="130">
        <v>50000</v>
      </c>
      <c r="L44" s="87">
        <f t="shared" si="3"/>
        <v>-50000</v>
      </c>
      <c r="M44" s="89">
        <f t="shared" si="4"/>
        <v>0</v>
      </c>
      <c r="N44" s="81"/>
      <c r="O44" s="81"/>
    </row>
    <row r="45" spans="1:13" s="10" customFormat="1" ht="29.25" customHeight="1">
      <c r="A45" s="9">
        <v>18011100</v>
      </c>
      <c r="B45" s="23" t="s">
        <v>94</v>
      </c>
      <c r="C45" s="112">
        <v>25000</v>
      </c>
      <c r="D45" s="112">
        <v>25000</v>
      </c>
      <c r="E45" s="123">
        <v>18750</v>
      </c>
      <c r="F45" s="123">
        <v>46500</v>
      </c>
      <c r="G45" s="7">
        <f t="shared" si="5"/>
        <v>248</v>
      </c>
      <c r="H45" s="7">
        <f t="shared" si="2"/>
        <v>186</v>
      </c>
      <c r="I45" s="8">
        <f t="shared" si="6"/>
        <v>27750</v>
      </c>
      <c r="J45" s="8">
        <f t="shared" si="1"/>
        <v>21500</v>
      </c>
      <c r="K45" s="130">
        <v>37500</v>
      </c>
      <c r="L45" s="87">
        <f t="shared" si="3"/>
        <v>9000</v>
      </c>
      <c r="M45" s="89">
        <f t="shared" si="4"/>
        <v>124</v>
      </c>
    </row>
    <row r="46" spans="1:13" s="32" customFormat="1" ht="22.5" customHeight="1">
      <c r="A46" s="15">
        <v>18050000</v>
      </c>
      <c r="B46" s="21" t="s">
        <v>95</v>
      </c>
      <c r="C46" s="97">
        <f>C47+C48+C49</f>
        <v>7500000</v>
      </c>
      <c r="D46" s="97">
        <f>D47+D48+D49</f>
        <v>7500000</v>
      </c>
      <c r="E46" s="97">
        <f>E47+E48+E49</f>
        <v>3055550</v>
      </c>
      <c r="F46" s="97">
        <f>F47+F48+F49</f>
        <v>3692166.85</v>
      </c>
      <c r="G46" s="46">
        <f t="shared" si="5"/>
        <v>120.83477115412937</v>
      </c>
      <c r="H46" s="46">
        <f t="shared" si="2"/>
        <v>49.22889133333334</v>
      </c>
      <c r="I46" s="30">
        <f t="shared" si="6"/>
        <v>636616.8500000001</v>
      </c>
      <c r="J46" s="30">
        <f t="shared" si="1"/>
        <v>-3807833.15</v>
      </c>
      <c r="K46" s="90">
        <f>SUM(K47:K49)</f>
        <v>3828219</v>
      </c>
      <c r="L46" s="77">
        <f t="shared" si="3"/>
        <v>-136052.1499999999</v>
      </c>
      <c r="M46" s="88">
        <f t="shared" si="4"/>
        <v>96.44607192012788</v>
      </c>
    </row>
    <row r="47" spans="1:13" s="10" customFormat="1" ht="25.5" customHeight="1">
      <c r="A47" s="9">
        <v>18050300</v>
      </c>
      <c r="B47" s="23" t="s">
        <v>96</v>
      </c>
      <c r="C47" s="112">
        <v>800000</v>
      </c>
      <c r="D47" s="112">
        <v>800000</v>
      </c>
      <c r="E47" s="123">
        <v>288000</v>
      </c>
      <c r="F47" s="123">
        <v>151002.39</v>
      </c>
      <c r="G47" s="7">
        <f t="shared" si="5"/>
        <v>52.43138541666667</v>
      </c>
      <c r="H47" s="7">
        <f t="shared" si="2"/>
        <v>18.875298750000002</v>
      </c>
      <c r="I47" s="8">
        <f t="shared" si="6"/>
        <v>-136997.61</v>
      </c>
      <c r="J47" s="8">
        <f t="shared" si="1"/>
        <v>-648997.61</v>
      </c>
      <c r="K47" s="130">
        <v>422511.58</v>
      </c>
      <c r="L47" s="87">
        <f t="shared" si="3"/>
        <v>-271509.19</v>
      </c>
      <c r="M47" s="89">
        <f t="shared" si="4"/>
        <v>35.7392310998908</v>
      </c>
    </row>
    <row r="48" spans="1:13" s="10" customFormat="1" ht="25.5" customHeight="1">
      <c r="A48" s="9">
        <v>18050400</v>
      </c>
      <c r="B48" s="23" t="s">
        <v>97</v>
      </c>
      <c r="C48" s="112">
        <v>2000000</v>
      </c>
      <c r="D48" s="112">
        <v>2000000</v>
      </c>
      <c r="E48" s="123">
        <v>1000000</v>
      </c>
      <c r="F48" s="123">
        <v>1415982.87</v>
      </c>
      <c r="G48" s="7">
        <f t="shared" si="5"/>
        <v>141.598287</v>
      </c>
      <c r="H48" s="7">
        <f t="shared" si="2"/>
        <v>70.7991435</v>
      </c>
      <c r="I48" s="8">
        <f t="shared" si="6"/>
        <v>415982.8700000001</v>
      </c>
      <c r="J48" s="8">
        <f t="shared" si="1"/>
        <v>-584017.1299999999</v>
      </c>
      <c r="K48" s="130">
        <v>1224256.23</v>
      </c>
      <c r="L48" s="87">
        <f t="shared" si="3"/>
        <v>191726.64000000013</v>
      </c>
      <c r="M48" s="89">
        <f t="shared" si="4"/>
        <v>115.6606628009563</v>
      </c>
    </row>
    <row r="49" spans="1:13" s="10" customFormat="1" ht="58.5" customHeight="1">
      <c r="A49" s="9">
        <v>18050500</v>
      </c>
      <c r="B49" s="23" t="s">
        <v>98</v>
      </c>
      <c r="C49" s="112">
        <v>4700000</v>
      </c>
      <c r="D49" s="112">
        <v>4700000</v>
      </c>
      <c r="E49" s="123">
        <v>1767550</v>
      </c>
      <c r="F49" s="123">
        <v>2125181.59</v>
      </c>
      <c r="G49" s="7">
        <f t="shared" si="5"/>
        <v>120.23318095669146</v>
      </c>
      <c r="H49" s="7">
        <f t="shared" si="2"/>
        <v>45.21662957446808</v>
      </c>
      <c r="I49" s="8">
        <f t="shared" si="6"/>
        <v>357631.58999999985</v>
      </c>
      <c r="J49" s="8">
        <f t="shared" si="1"/>
        <v>-2574818.41</v>
      </c>
      <c r="K49" s="130">
        <v>2181451.19</v>
      </c>
      <c r="L49" s="87">
        <f t="shared" si="3"/>
        <v>-56269.60000000009</v>
      </c>
      <c r="M49" s="89">
        <f t="shared" si="4"/>
        <v>97.42054279014145</v>
      </c>
    </row>
    <row r="50" spans="1:13" s="67" customFormat="1" ht="30" customHeight="1" hidden="1">
      <c r="A50" s="66" t="s">
        <v>221</v>
      </c>
      <c r="B50" s="71" t="s">
        <v>220</v>
      </c>
      <c r="C50" s="97">
        <f>SUM(C51)</f>
        <v>0</v>
      </c>
      <c r="D50" s="97">
        <f>SUM(D51)</f>
        <v>0</v>
      </c>
      <c r="E50" s="97">
        <f>SUM(E51)</f>
        <v>0</v>
      </c>
      <c r="F50" s="97">
        <f>SUM(F51)</f>
        <v>0</v>
      </c>
      <c r="G50" s="7">
        <f>IF(E50=0,0,F50/E50%)</f>
        <v>0</v>
      </c>
      <c r="H50" s="7">
        <f>IF(D50=0,0,F50/D50%)</f>
        <v>0</v>
      </c>
      <c r="I50" s="8">
        <f aca="true" t="shared" si="7" ref="I50:I57">F50-E50</f>
        <v>0</v>
      </c>
      <c r="J50" s="8">
        <f>F50-D50</f>
        <v>0</v>
      </c>
      <c r="K50" s="115">
        <f>SUM(K51)</f>
        <v>0</v>
      </c>
      <c r="L50" s="87">
        <f>IF(K50=0,0,F50-K50)</f>
        <v>0</v>
      </c>
      <c r="M50" s="89">
        <f>IF(K50=0,0,F50/K50*100)</f>
        <v>0</v>
      </c>
    </row>
    <row r="51" spans="1:13" s="69" customFormat="1" ht="129.75" customHeight="1" hidden="1">
      <c r="A51" s="68" t="s">
        <v>222</v>
      </c>
      <c r="B51" s="72" t="s">
        <v>223</v>
      </c>
      <c r="C51" s="98"/>
      <c r="D51" s="98"/>
      <c r="E51" s="99"/>
      <c r="F51" s="99"/>
      <c r="G51" s="7">
        <f>IF(E51=0,0,F51/E51%)</f>
        <v>0</v>
      </c>
      <c r="H51" s="7">
        <f>IF(D51=0,0,F51/D51%)</f>
        <v>0</v>
      </c>
      <c r="I51" s="8">
        <f t="shared" si="7"/>
        <v>0</v>
      </c>
      <c r="J51" s="8">
        <f>F51-D51</f>
        <v>0</v>
      </c>
      <c r="K51" s="116"/>
      <c r="L51" s="87">
        <f>IF(K51=0,0,F51-K51)</f>
        <v>0</v>
      </c>
      <c r="M51" s="89">
        <f>IF(K51=0,0,F51/K51*100)</f>
        <v>0</v>
      </c>
    </row>
    <row r="52" spans="1:13" s="32" customFormat="1" ht="93.75" customHeight="1" hidden="1">
      <c r="A52" s="15">
        <v>21010000</v>
      </c>
      <c r="B52" s="19" t="s">
        <v>77</v>
      </c>
      <c r="C52" s="97">
        <f>C53</f>
        <v>0</v>
      </c>
      <c r="D52" s="97">
        <f>D53</f>
        <v>0</v>
      </c>
      <c r="E52" s="97">
        <f>E53</f>
        <v>0</v>
      </c>
      <c r="F52" s="97">
        <f>F53</f>
        <v>0</v>
      </c>
      <c r="G52" s="46">
        <f t="shared" si="5"/>
        <v>0</v>
      </c>
      <c r="H52" s="46">
        <f t="shared" si="2"/>
        <v>0</v>
      </c>
      <c r="I52" s="30">
        <f t="shared" si="7"/>
        <v>0</v>
      </c>
      <c r="J52" s="30">
        <f t="shared" si="1"/>
        <v>0</v>
      </c>
      <c r="K52" s="90">
        <f>SUM(K53)</f>
        <v>0</v>
      </c>
      <c r="L52" s="77">
        <f t="shared" si="3"/>
        <v>0</v>
      </c>
      <c r="M52" s="88">
        <f t="shared" si="4"/>
        <v>0</v>
      </c>
    </row>
    <row r="53" spans="1:13" s="10" customFormat="1" ht="41.25" customHeight="1" hidden="1">
      <c r="A53" s="9">
        <v>21010300</v>
      </c>
      <c r="B53" s="17" t="s">
        <v>78</v>
      </c>
      <c r="C53" s="98">
        <v>0</v>
      </c>
      <c r="D53" s="98">
        <v>0</v>
      </c>
      <c r="E53" s="98">
        <v>0</v>
      </c>
      <c r="F53" s="98">
        <v>0</v>
      </c>
      <c r="G53" s="7">
        <f t="shared" si="5"/>
        <v>0</v>
      </c>
      <c r="H53" s="7">
        <f t="shared" si="2"/>
        <v>0</v>
      </c>
      <c r="I53" s="8">
        <f t="shared" si="7"/>
        <v>0</v>
      </c>
      <c r="J53" s="8">
        <f t="shared" si="1"/>
        <v>0</v>
      </c>
      <c r="K53" s="78">
        <v>0</v>
      </c>
      <c r="L53" s="87">
        <f t="shared" si="3"/>
        <v>0</v>
      </c>
      <c r="M53" s="89">
        <f t="shared" si="4"/>
        <v>0</v>
      </c>
    </row>
    <row r="54" spans="1:13" s="32" customFormat="1" ht="19.5" customHeight="1">
      <c r="A54" s="15">
        <v>21080000</v>
      </c>
      <c r="B54" s="26" t="s">
        <v>3</v>
      </c>
      <c r="C54" s="97">
        <f>SUM(C55:C57)</f>
        <v>10000</v>
      </c>
      <c r="D54" s="97">
        <f>SUM(D55:D57)</f>
        <v>10000</v>
      </c>
      <c r="E54" s="97">
        <f>SUM(E55:E57)</f>
        <v>5000</v>
      </c>
      <c r="F54" s="97">
        <f>SUM(F55:F57)</f>
        <v>3349</v>
      </c>
      <c r="G54" s="46">
        <f t="shared" si="5"/>
        <v>66.98</v>
      </c>
      <c r="H54" s="46">
        <f t="shared" si="2"/>
        <v>33.49</v>
      </c>
      <c r="I54" s="30">
        <f t="shared" si="7"/>
        <v>-1651</v>
      </c>
      <c r="J54" s="30">
        <f t="shared" si="1"/>
        <v>-6651</v>
      </c>
      <c r="K54" s="90">
        <f>SUM(K55:K57)</f>
        <v>7455.36</v>
      </c>
      <c r="L54" s="77">
        <f t="shared" si="3"/>
        <v>-4106.36</v>
      </c>
      <c r="M54" s="88">
        <f t="shared" si="4"/>
        <v>44.92070134775518</v>
      </c>
    </row>
    <row r="55" spans="1:13" s="32" customFormat="1" ht="39" customHeight="1" hidden="1">
      <c r="A55" s="9">
        <v>21010300</v>
      </c>
      <c r="B55" s="17" t="s">
        <v>239</v>
      </c>
      <c r="C55" s="97"/>
      <c r="D55" s="97"/>
      <c r="E55" s="97"/>
      <c r="F55" s="97"/>
      <c r="G55" s="46"/>
      <c r="H55" s="46"/>
      <c r="I55" s="30"/>
      <c r="J55" s="30"/>
      <c r="K55" s="78">
        <v>0</v>
      </c>
      <c r="L55" s="77"/>
      <c r="M55" s="88"/>
    </row>
    <row r="56" spans="1:13" s="10" customFormat="1" ht="23.25" customHeight="1">
      <c r="A56" s="9">
        <v>21081100</v>
      </c>
      <c r="B56" s="25" t="s">
        <v>119</v>
      </c>
      <c r="C56" s="98">
        <v>10000</v>
      </c>
      <c r="D56" s="98">
        <v>10000</v>
      </c>
      <c r="E56" s="123">
        <v>5000</v>
      </c>
      <c r="F56" s="123">
        <v>3349</v>
      </c>
      <c r="G56" s="7">
        <f t="shared" si="5"/>
        <v>66.98</v>
      </c>
      <c r="H56" s="7">
        <f t="shared" si="2"/>
        <v>33.49</v>
      </c>
      <c r="I56" s="8">
        <f t="shared" si="7"/>
        <v>-1651</v>
      </c>
      <c r="J56" s="8">
        <f t="shared" si="1"/>
        <v>-6651</v>
      </c>
      <c r="K56" s="130">
        <v>7455.36</v>
      </c>
      <c r="L56" s="87">
        <f t="shared" si="3"/>
        <v>-4106.36</v>
      </c>
      <c r="M56" s="89">
        <f t="shared" si="4"/>
        <v>44.92070134775518</v>
      </c>
    </row>
    <row r="57" spans="1:13" s="27" customFormat="1" ht="36" customHeight="1" hidden="1">
      <c r="A57" s="9">
        <v>21081500</v>
      </c>
      <c r="B57" s="17" t="s">
        <v>176</v>
      </c>
      <c r="C57" s="98"/>
      <c r="D57" s="98"/>
      <c r="E57" s="98"/>
      <c r="F57" s="98"/>
      <c r="G57" s="7">
        <f t="shared" si="5"/>
        <v>0</v>
      </c>
      <c r="H57" s="7">
        <f t="shared" si="2"/>
        <v>0</v>
      </c>
      <c r="I57" s="8">
        <f t="shared" si="7"/>
        <v>0</v>
      </c>
      <c r="J57" s="8">
        <f t="shared" si="1"/>
        <v>0</v>
      </c>
      <c r="K57" s="106"/>
      <c r="L57" s="87">
        <f t="shared" si="3"/>
        <v>0</v>
      </c>
      <c r="M57" s="89">
        <f t="shared" si="4"/>
        <v>0</v>
      </c>
    </row>
    <row r="58" spans="1:13" s="32" customFormat="1" ht="23.25" customHeight="1">
      <c r="A58" s="15">
        <v>22010000</v>
      </c>
      <c r="B58" s="16" t="s">
        <v>61</v>
      </c>
      <c r="C58" s="97">
        <f>SUM(C59:C62)</f>
        <v>305000</v>
      </c>
      <c r="D58" s="97">
        <f>SUM(D59:D62)</f>
        <v>305000</v>
      </c>
      <c r="E58" s="97">
        <f>SUM(E59:E62)</f>
        <v>202800</v>
      </c>
      <c r="F58" s="97">
        <f>SUM(F59:F62)</f>
        <v>120877.37000000001</v>
      </c>
      <c r="G58" s="46">
        <f t="shared" si="5"/>
        <v>59.604225838264306</v>
      </c>
      <c r="H58" s="46">
        <f t="shared" si="2"/>
        <v>39.63192459016394</v>
      </c>
      <c r="I58" s="30">
        <f t="shared" si="6"/>
        <v>-81922.62999999999</v>
      </c>
      <c r="J58" s="30">
        <f t="shared" si="1"/>
        <v>-184122.63</v>
      </c>
      <c r="K58" s="90">
        <f>SUM(K59:K62)</f>
        <v>104245.91</v>
      </c>
      <c r="L58" s="77">
        <f t="shared" si="3"/>
        <v>16631.460000000006</v>
      </c>
      <c r="M58" s="88">
        <f t="shared" si="4"/>
        <v>115.9540647685842</v>
      </c>
    </row>
    <row r="59" spans="1:13" s="32" customFormat="1" ht="36" customHeight="1">
      <c r="A59" s="9">
        <v>22010300</v>
      </c>
      <c r="B59" s="18" t="s">
        <v>236</v>
      </c>
      <c r="C59" s="98">
        <v>10000</v>
      </c>
      <c r="D59" s="98">
        <v>10000</v>
      </c>
      <c r="E59" s="123">
        <v>6800</v>
      </c>
      <c r="F59" s="123">
        <v>2310.03</v>
      </c>
      <c r="G59" s="7">
        <f aca="true" t="shared" si="8" ref="G59:G64">IF(E59=0,0,F59/E59%)</f>
        <v>33.97102941176471</v>
      </c>
      <c r="H59" s="7">
        <f aca="true" t="shared" si="9" ref="H59:H64">IF(D59=0,0,F59/D59%)</f>
        <v>23.1003</v>
      </c>
      <c r="I59" s="8">
        <f aca="true" t="shared" si="10" ref="I59:I64">F59-E59</f>
        <v>-4489.969999999999</v>
      </c>
      <c r="J59" s="8">
        <f aca="true" t="shared" si="11" ref="J59:J64">F59-D59</f>
        <v>-7689.969999999999</v>
      </c>
      <c r="K59" s="90"/>
      <c r="L59" s="87">
        <f aca="true" t="shared" si="12" ref="L59:L64">IF(K59=0,0,F59-K59)</f>
        <v>0</v>
      </c>
      <c r="M59" s="89">
        <f aca="true" t="shared" si="13" ref="M59:M64">IF(K59=0,0,F59/K59*100)</f>
        <v>0</v>
      </c>
    </row>
    <row r="60" spans="1:13" s="10" customFormat="1" ht="27.75" customHeight="1">
      <c r="A60" s="9">
        <v>22012500</v>
      </c>
      <c r="B60" s="17" t="s">
        <v>104</v>
      </c>
      <c r="C60" s="98">
        <v>150000</v>
      </c>
      <c r="D60" s="98">
        <v>150000</v>
      </c>
      <c r="E60" s="123">
        <v>100000</v>
      </c>
      <c r="F60" s="123">
        <v>70757.2</v>
      </c>
      <c r="G60" s="7">
        <f t="shared" si="8"/>
        <v>70.7572</v>
      </c>
      <c r="H60" s="7">
        <f t="shared" si="9"/>
        <v>47.17146666666667</v>
      </c>
      <c r="I60" s="8">
        <f t="shared" si="10"/>
        <v>-29242.800000000003</v>
      </c>
      <c r="J60" s="8">
        <f t="shared" si="11"/>
        <v>-79242.8</v>
      </c>
      <c r="K60" s="130">
        <v>104245.91</v>
      </c>
      <c r="L60" s="87">
        <f t="shared" si="12"/>
        <v>-33488.71000000001</v>
      </c>
      <c r="M60" s="89">
        <f t="shared" si="13"/>
        <v>67.87527683340286</v>
      </c>
    </row>
    <row r="61" spans="1:13" s="10" customFormat="1" ht="39.75" customHeight="1">
      <c r="A61" s="9">
        <v>22012600</v>
      </c>
      <c r="B61" s="17" t="s">
        <v>237</v>
      </c>
      <c r="C61" s="98">
        <v>145000</v>
      </c>
      <c r="D61" s="98">
        <v>145000</v>
      </c>
      <c r="E61" s="123">
        <v>96000</v>
      </c>
      <c r="F61" s="123">
        <v>47810.12</v>
      </c>
      <c r="G61" s="7">
        <f t="shared" si="8"/>
        <v>49.80220833333333</v>
      </c>
      <c r="H61" s="7">
        <f t="shared" si="9"/>
        <v>32.97249655172414</v>
      </c>
      <c r="I61" s="8">
        <f t="shared" si="10"/>
        <v>-48189.88</v>
      </c>
      <c r="J61" s="8">
        <f t="shared" si="11"/>
        <v>-97189.88</v>
      </c>
      <c r="K61" s="78"/>
      <c r="L61" s="87">
        <f t="shared" si="12"/>
        <v>0</v>
      </c>
      <c r="M61" s="89">
        <f t="shared" si="13"/>
        <v>0</v>
      </c>
    </row>
    <row r="62" spans="1:13" s="10" customFormat="1" ht="90" customHeight="1">
      <c r="A62" s="9">
        <v>22012900</v>
      </c>
      <c r="B62" s="17" t="s">
        <v>244</v>
      </c>
      <c r="C62" s="98"/>
      <c r="D62" s="98"/>
      <c r="E62" s="125">
        <v>0</v>
      </c>
      <c r="F62" s="125">
        <v>0.02</v>
      </c>
      <c r="G62" s="7">
        <f t="shared" si="8"/>
        <v>0</v>
      </c>
      <c r="H62" s="7">
        <f t="shared" si="9"/>
        <v>0</v>
      </c>
      <c r="I62" s="8">
        <f t="shared" si="10"/>
        <v>0.02</v>
      </c>
      <c r="J62" s="8">
        <f t="shared" si="11"/>
        <v>0.02</v>
      </c>
      <c r="K62" s="78"/>
      <c r="L62" s="87">
        <f t="shared" si="12"/>
        <v>0</v>
      </c>
      <c r="M62" s="89">
        <f t="shared" si="13"/>
        <v>0</v>
      </c>
    </row>
    <row r="63" spans="1:13" s="32" customFormat="1" ht="39.75" customHeight="1" hidden="1">
      <c r="A63" s="15">
        <v>22080000</v>
      </c>
      <c r="B63" s="16" t="s">
        <v>41</v>
      </c>
      <c r="C63" s="97">
        <f>C64</f>
        <v>0</v>
      </c>
      <c r="D63" s="97">
        <f>D64</f>
        <v>0</v>
      </c>
      <c r="E63" s="97">
        <f>E64</f>
        <v>0</v>
      </c>
      <c r="F63" s="97">
        <f>F64</f>
        <v>0</v>
      </c>
      <c r="G63" s="46">
        <f t="shared" si="8"/>
        <v>0</v>
      </c>
      <c r="H63" s="46">
        <f t="shared" si="9"/>
        <v>0</v>
      </c>
      <c r="I63" s="30">
        <f t="shared" si="10"/>
        <v>0</v>
      </c>
      <c r="J63" s="30">
        <f t="shared" si="11"/>
        <v>0</v>
      </c>
      <c r="K63" s="90">
        <f>SUM(K64)</f>
        <v>0</v>
      </c>
      <c r="L63" s="77">
        <f t="shared" si="12"/>
        <v>0</v>
      </c>
      <c r="M63" s="88">
        <f t="shared" si="13"/>
        <v>0</v>
      </c>
    </row>
    <row r="64" spans="1:13" s="10" customFormat="1" ht="42" customHeight="1" hidden="1">
      <c r="A64" s="9">
        <v>22080400</v>
      </c>
      <c r="B64" s="17" t="s">
        <v>44</v>
      </c>
      <c r="C64" s="98">
        <v>0</v>
      </c>
      <c r="D64" s="98"/>
      <c r="E64" s="98"/>
      <c r="F64" s="98"/>
      <c r="G64" s="46">
        <f t="shared" si="8"/>
        <v>0</v>
      </c>
      <c r="H64" s="46">
        <f t="shared" si="9"/>
        <v>0</v>
      </c>
      <c r="I64" s="30">
        <f t="shared" si="10"/>
        <v>0</v>
      </c>
      <c r="J64" s="30">
        <f t="shared" si="11"/>
        <v>0</v>
      </c>
      <c r="K64" s="78"/>
      <c r="L64" s="77">
        <f t="shared" si="12"/>
        <v>0</v>
      </c>
      <c r="M64" s="88">
        <f t="shared" si="13"/>
        <v>0</v>
      </c>
    </row>
    <row r="65" spans="1:13" s="32" customFormat="1" ht="24.75" customHeight="1">
      <c r="A65" s="15">
        <v>22090000</v>
      </c>
      <c r="B65" s="19" t="s">
        <v>105</v>
      </c>
      <c r="C65" s="97">
        <f>C66+C67+C68</f>
        <v>10000</v>
      </c>
      <c r="D65" s="97">
        <f>D66+D67+D68</f>
        <v>10000</v>
      </c>
      <c r="E65" s="97">
        <f>E66+E67+E68</f>
        <v>6000</v>
      </c>
      <c r="F65" s="97">
        <f>F66+F67+F68</f>
        <v>6118.48</v>
      </c>
      <c r="G65" s="46">
        <f t="shared" si="5"/>
        <v>101.97466666666666</v>
      </c>
      <c r="H65" s="46">
        <f t="shared" si="2"/>
        <v>61.184799999999996</v>
      </c>
      <c r="I65" s="30">
        <f t="shared" si="6"/>
        <v>118.47999999999956</v>
      </c>
      <c r="J65" s="30">
        <f t="shared" si="1"/>
        <v>-3881.5200000000004</v>
      </c>
      <c r="K65" s="90">
        <f>SUM(K66:K68)</f>
        <v>40746.53</v>
      </c>
      <c r="L65" s="77">
        <f t="shared" si="3"/>
        <v>-34628.05</v>
      </c>
      <c r="M65" s="88">
        <f t="shared" si="4"/>
        <v>15.015953505734107</v>
      </c>
    </row>
    <row r="66" spans="1:13" s="10" customFormat="1" ht="52.5" customHeight="1">
      <c r="A66" s="9">
        <v>22090100</v>
      </c>
      <c r="B66" s="23" t="s">
        <v>106</v>
      </c>
      <c r="C66" s="98">
        <v>10000</v>
      </c>
      <c r="D66" s="98">
        <v>10000</v>
      </c>
      <c r="E66" s="123">
        <v>6000</v>
      </c>
      <c r="F66" s="123">
        <v>5055.98</v>
      </c>
      <c r="G66" s="7">
        <f t="shared" si="5"/>
        <v>84.26633333333332</v>
      </c>
      <c r="H66" s="7">
        <f t="shared" si="2"/>
        <v>50.559799999999996</v>
      </c>
      <c r="I66" s="8">
        <f t="shared" si="6"/>
        <v>-944.0200000000004</v>
      </c>
      <c r="J66" s="8">
        <f t="shared" si="1"/>
        <v>-4944.02</v>
      </c>
      <c r="K66" s="130">
        <v>40593.53</v>
      </c>
      <c r="L66" s="87">
        <f t="shared" si="3"/>
        <v>-35537.55</v>
      </c>
      <c r="M66" s="89">
        <f t="shared" si="4"/>
        <v>12.45513755517197</v>
      </c>
    </row>
    <row r="67" spans="1:13" s="10" customFormat="1" ht="24.75" customHeight="1" hidden="1">
      <c r="A67" s="9">
        <v>22090200</v>
      </c>
      <c r="B67" s="23" t="s">
        <v>191</v>
      </c>
      <c r="C67" s="98"/>
      <c r="D67" s="98"/>
      <c r="E67" s="112">
        <v>0</v>
      </c>
      <c r="F67" s="113"/>
      <c r="G67" s="7">
        <f>IF(E67=0,0,F67/E67%)</f>
        <v>0</v>
      </c>
      <c r="H67" s="7">
        <f>IF(D67=0,0,F67/D67%)</f>
        <v>0</v>
      </c>
      <c r="I67" s="8">
        <f>F67-E67</f>
        <v>0</v>
      </c>
      <c r="J67" s="8">
        <f>F67-D67</f>
        <v>0</v>
      </c>
      <c r="K67" s="131">
        <v>0</v>
      </c>
      <c r="L67" s="87">
        <f>IF(K67=0,0,F67-K67)</f>
        <v>0</v>
      </c>
      <c r="M67" s="89">
        <f>IF(K67=0,0,F67/K67*100)</f>
        <v>0</v>
      </c>
    </row>
    <row r="68" spans="1:13" s="27" customFormat="1" ht="36" customHeight="1">
      <c r="A68" s="28">
        <v>22090400</v>
      </c>
      <c r="B68" s="23" t="s">
        <v>178</v>
      </c>
      <c r="C68" s="98"/>
      <c r="D68" s="98"/>
      <c r="E68" s="123">
        <v>0</v>
      </c>
      <c r="F68" s="123">
        <v>1062.5</v>
      </c>
      <c r="G68" s="7">
        <f t="shared" si="5"/>
        <v>0</v>
      </c>
      <c r="H68" s="7">
        <f t="shared" si="2"/>
        <v>0</v>
      </c>
      <c r="I68" s="8">
        <f t="shared" si="6"/>
        <v>1062.5</v>
      </c>
      <c r="J68" s="8">
        <f t="shared" si="1"/>
        <v>1062.5</v>
      </c>
      <c r="K68" s="130">
        <v>153</v>
      </c>
      <c r="L68" s="87">
        <f t="shared" si="3"/>
        <v>909.5</v>
      </c>
      <c r="M68" s="89">
        <f t="shared" si="4"/>
        <v>694.4444444444445</v>
      </c>
    </row>
    <row r="69" spans="1:13" s="32" customFormat="1" ht="26.25" customHeight="1">
      <c r="A69" s="20">
        <v>24000000</v>
      </c>
      <c r="B69" s="21" t="s">
        <v>120</v>
      </c>
      <c r="C69" s="97">
        <f>C70</f>
        <v>20000</v>
      </c>
      <c r="D69" s="97">
        <f>D70</f>
        <v>20000</v>
      </c>
      <c r="E69" s="97">
        <f>E70</f>
        <v>10000</v>
      </c>
      <c r="F69" s="97">
        <f>F70</f>
        <v>40584.27</v>
      </c>
      <c r="G69" s="46">
        <f t="shared" si="5"/>
        <v>405.8427</v>
      </c>
      <c r="H69" s="46">
        <f t="shared" si="2"/>
        <v>202.92135</v>
      </c>
      <c r="I69" s="30">
        <f t="shared" si="6"/>
        <v>30584.269999999997</v>
      </c>
      <c r="J69" s="30">
        <f t="shared" si="1"/>
        <v>20584.269999999997</v>
      </c>
      <c r="K69" s="90">
        <f>SUM(K70)</f>
        <v>20374.56</v>
      </c>
      <c r="L69" s="77">
        <f t="shared" si="3"/>
        <v>20209.709999999995</v>
      </c>
      <c r="M69" s="88">
        <f t="shared" si="4"/>
        <v>199.19090277286966</v>
      </c>
    </row>
    <row r="70" spans="1:13" s="10" customFormat="1" ht="26.25" customHeight="1">
      <c r="A70" s="28">
        <v>24060300</v>
      </c>
      <c r="B70" s="23" t="s">
        <v>3</v>
      </c>
      <c r="C70" s="98">
        <v>20000</v>
      </c>
      <c r="D70" s="98">
        <v>20000</v>
      </c>
      <c r="E70" s="112">
        <v>10000</v>
      </c>
      <c r="F70" s="113">
        <v>40584.27</v>
      </c>
      <c r="G70" s="7">
        <f t="shared" si="5"/>
        <v>405.8427</v>
      </c>
      <c r="H70" s="7">
        <f t="shared" si="2"/>
        <v>202.92135</v>
      </c>
      <c r="I70" s="8">
        <f t="shared" si="6"/>
        <v>30584.269999999997</v>
      </c>
      <c r="J70" s="8">
        <f t="shared" si="1"/>
        <v>20584.269999999997</v>
      </c>
      <c r="K70" s="78">
        <v>20374.56</v>
      </c>
      <c r="L70" s="87">
        <f t="shared" si="3"/>
        <v>20209.709999999995</v>
      </c>
      <c r="M70" s="89">
        <f t="shared" si="4"/>
        <v>199.19090277286966</v>
      </c>
    </row>
    <row r="71" spans="1:13" s="32" customFormat="1" ht="38.25" customHeight="1">
      <c r="A71" s="33"/>
      <c r="B71" s="29" t="s">
        <v>35</v>
      </c>
      <c r="C71" s="59">
        <f>C14+C19+C58+C63+C52+C21+C24+C32+C33+C46+C65+C28+C30+C54+C69</f>
        <v>49786190</v>
      </c>
      <c r="D71" s="59">
        <f>D14+D19+D58+D63+D52+D21+D24+D32+D33+D46+D65+D28+D30+D54+D69</f>
        <v>49263890</v>
      </c>
      <c r="E71" s="59">
        <f>E14+E19+E58+E63+E52+E21+E24+E32+E33+E46+E65+E28+E30+E54+E69</f>
        <v>27418374</v>
      </c>
      <c r="F71" s="59">
        <f>F14+F19+F58+F63+F52+F21+F24+F32+F33+F46+F65+F28+F30+F54+F69</f>
        <v>27148976.73</v>
      </c>
      <c r="G71" s="46">
        <f t="shared" si="5"/>
        <v>99.01745716212056</v>
      </c>
      <c r="H71" s="46">
        <f t="shared" si="2"/>
        <v>55.10928335135532</v>
      </c>
      <c r="I71" s="30">
        <f t="shared" si="6"/>
        <v>-269397.26999999955</v>
      </c>
      <c r="J71" s="30">
        <f t="shared" si="1"/>
        <v>-22114913.27</v>
      </c>
      <c r="K71" s="59">
        <f>K14+K19+K58+K63+K52+K21+K24+K32+K33+K46+K65+K28+K30+K54+K69</f>
        <v>26658081.720000003</v>
      </c>
      <c r="L71" s="77">
        <f t="shared" si="3"/>
        <v>490895.0099999979</v>
      </c>
      <c r="M71" s="88">
        <f t="shared" si="4"/>
        <v>101.84144911534165</v>
      </c>
    </row>
    <row r="72" spans="1:13" s="10" customFormat="1" ht="18" customHeight="1">
      <c r="A72" s="12"/>
      <c r="B72" s="11" t="s">
        <v>36</v>
      </c>
      <c r="C72" s="59"/>
      <c r="D72" s="59"/>
      <c r="E72" s="59"/>
      <c r="F72" s="59"/>
      <c r="G72" s="63"/>
      <c r="H72" s="63"/>
      <c r="I72" s="59"/>
      <c r="J72" s="59"/>
      <c r="K72" s="78"/>
      <c r="L72" s="78"/>
      <c r="M72" s="91"/>
    </row>
    <row r="73" spans="1:13" s="10" customFormat="1" ht="43.5" customHeight="1">
      <c r="A73" s="12">
        <v>41033200</v>
      </c>
      <c r="B73" s="73" t="s">
        <v>192</v>
      </c>
      <c r="C73" s="60"/>
      <c r="D73" s="60"/>
      <c r="E73" s="59"/>
      <c r="F73" s="59"/>
      <c r="G73" s="7">
        <f>IF(E73=0,0,F73/E73%)</f>
        <v>0</v>
      </c>
      <c r="H73" s="7">
        <f>IF(D73=0,0,F73/D73%)</f>
        <v>0</v>
      </c>
      <c r="I73" s="8">
        <f>F73-E73</f>
        <v>0</v>
      </c>
      <c r="J73" s="8">
        <f>F73-D73</f>
        <v>0</v>
      </c>
      <c r="K73" s="130">
        <v>1555000</v>
      </c>
      <c r="L73" s="87">
        <f>IF(K73=0,0,F73-K73)</f>
        <v>-1555000</v>
      </c>
      <c r="M73" s="89">
        <f>IF(K73=0,0,F73/K73*100)</f>
        <v>0</v>
      </c>
    </row>
    <row r="74" spans="1:13" s="10" customFormat="1" ht="28.5" customHeight="1">
      <c r="A74" s="9">
        <v>41033900</v>
      </c>
      <c r="B74" s="74" t="s">
        <v>59</v>
      </c>
      <c r="C74" s="98">
        <v>16726800</v>
      </c>
      <c r="D74" s="98">
        <v>18027800</v>
      </c>
      <c r="E74" s="123">
        <v>11970900</v>
      </c>
      <c r="F74" s="123">
        <v>11970900</v>
      </c>
      <c r="G74" s="7">
        <f t="shared" si="5"/>
        <v>100</v>
      </c>
      <c r="H74" s="7">
        <f t="shared" si="2"/>
        <v>66.40244511254839</v>
      </c>
      <c r="I74" s="8">
        <f t="shared" si="6"/>
        <v>0</v>
      </c>
      <c r="J74" s="8">
        <f aca="true" t="shared" si="14" ref="J74:J96">F74-D74</f>
        <v>-6056900</v>
      </c>
      <c r="K74" s="130">
        <v>11068500</v>
      </c>
      <c r="L74" s="87">
        <f t="shared" si="3"/>
        <v>902400</v>
      </c>
      <c r="M74" s="89">
        <f t="shared" si="4"/>
        <v>108.15286624203821</v>
      </c>
    </row>
    <row r="75" spans="1:13" s="10" customFormat="1" ht="27.75" customHeight="1">
      <c r="A75" s="9">
        <v>41034200</v>
      </c>
      <c r="B75" s="74" t="s">
        <v>60</v>
      </c>
      <c r="C75" s="98">
        <v>1261300</v>
      </c>
      <c r="D75" s="98">
        <v>1261300</v>
      </c>
      <c r="E75" s="123">
        <v>1261300</v>
      </c>
      <c r="F75" s="123">
        <v>1261300</v>
      </c>
      <c r="G75" s="7">
        <f t="shared" si="5"/>
        <v>100</v>
      </c>
      <c r="H75" s="7">
        <f t="shared" si="2"/>
        <v>100</v>
      </c>
      <c r="I75" s="8">
        <f aca="true" t="shared" si="15" ref="I75:I81">F75-E75</f>
        <v>0</v>
      </c>
      <c r="J75" s="8">
        <f t="shared" si="14"/>
        <v>0</v>
      </c>
      <c r="K75" s="130">
        <v>3170800</v>
      </c>
      <c r="L75" s="87">
        <f t="shared" si="3"/>
        <v>-1909500</v>
      </c>
      <c r="M75" s="89">
        <f t="shared" si="4"/>
        <v>39.77860476851268</v>
      </c>
    </row>
    <row r="76" spans="1:13" s="10" customFormat="1" ht="57.75" customHeight="1">
      <c r="A76" s="9">
        <v>41040200</v>
      </c>
      <c r="B76" s="74" t="s">
        <v>107</v>
      </c>
      <c r="C76" s="98">
        <v>2888200</v>
      </c>
      <c r="D76" s="98">
        <v>2888200</v>
      </c>
      <c r="E76" s="123">
        <v>1925464</v>
      </c>
      <c r="F76" s="123">
        <v>1925464</v>
      </c>
      <c r="G76" s="7">
        <f t="shared" si="5"/>
        <v>100</v>
      </c>
      <c r="H76" s="7">
        <f t="shared" si="2"/>
        <v>66.66657433695727</v>
      </c>
      <c r="I76" s="8">
        <f t="shared" si="15"/>
        <v>0</v>
      </c>
      <c r="J76" s="8">
        <f t="shared" si="14"/>
        <v>-962736</v>
      </c>
      <c r="K76" s="130">
        <v>3382784</v>
      </c>
      <c r="L76" s="87">
        <f t="shared" si="3"/>
        <v>-1457320</v>
      </c>
      <c r="M76" s="89">
        <f t="shared" si="4"/>
        <v>56.919507719085814</v>
      </c>
    </row>
    <row r="77" spans="1:13" s="10" customFormat="1" ht="89.25" customHeight="1" hidden="1">
      <c r="A77" s="9">
        <v>41050900</v>
      </c>
      <c r="B77" s="74" t="s">
        <v>203</v>
      </c>
      <c r="C77" s="98">
        <v>0</v>
      </c>
      <c r="D77" s="98">
        <v>0</v>
      </c>
      <c r="E77" s="98"/>
      <c r="F77" s="98"/>
      <c r="G77" s="7">
        <f>IF(E77=0,0,F77/E77%)</f>
        <v>0</v>
      </c>
      <c r="H77" s="7">
        <f>IF(D77=0,0,F77/D77%)</f>
        <v>0</v>
      </c>
      <c r="I77" s="8">
        <f>F77-E77</f>
        <v>0</v>
      </c>
      <c r="J77" s="8">
        <f>F77-D77</f>
        <v>0</v>
      </c>
      <c r="K77" s="98">
        <v>0</v>
      </c>
      <c r="L77" s="87">
        <f t="shared" si="3"/>
        <v>0</v>
      </c>
      <c r="M77" s="89">
        <f t="shared" si="4"/>
        <v>0</v>
      </c>
    </row>
    <row r="78" spans="1:13" s="10" customFormat="1" ht="41.25" customHeight="1">
      <c r="A78" s="9">
        <v>41051000</v>
      </c>
      <c r="B78" s="74" t="s">
        <v>231</v>
      </c>
      <c r="C78" s="98">
        <v>132507</v>
      </c>
      <c r="D78" s="98">
        <v>465572</v>
      </c>
      <c r="E78" s="123">
        <v>376146</v>
      </c>
      <c r="F78" s="123">
        <v>205745</v>
      </c>
      <c r="G78" s="7">
        <f>IF(E78=0,0,F78/E78%)</f>
        <v>54.69817570836856</v>
      </c>
      <c r="H78" s="7">
        <f>IF(D78=0,0,F78/D78%)</f>
        <v>44.19187580009107</v>
      </c>
      <c r="I78" s="8">
        <f>F78-E78</f>
        <v>-170401</v>
      </c>
      <c r="J78" s="8">
        <f>F78-D78</f>
        <v>-259827</v>
      </c>
      <c r="K78" s="130">
        <v>260190</v>
      </c>
      <c r="L78" s="87">
        <f>F78-K78</f>
        <v>-54445</v>
      </c>
      <c r="M78" s="89">
        <f t="shared" si="4"/>
        <v>79.07490679887775</v>
      </c>
    </row>
    <row r="79" spans="1:13" s="10" customFormat="1" ht="39" customHeight="1">
      <c r="A79" s="9">
        <v>41051100</v>
      </c>
      <c r="B79" s="74" t="s">
        <v>109</v>
      </c>
      <c r="C79" s="98"/>
      <c r="D79" s="98"/>
      <c r="E79" s="98"/>
      <c r="F79" s="98"/>
      <c r="G79" s="7">
        <f t="shared" si="5"/>
        <v>0</v>
      </c>
      <c r="H79" s="7">
        <f aca="true" t="shared" si="16" ref="H79:H129">IF(D79=0,0,F79/D79%)</f>
        <v>0</v>
      </c>
      <c r="I79" s="8">
        <f t="shared" si="15"/>
        <v>0</v>
      </c>
      <c r="J79" s="8">
        <f t="shared" si="14"/>
        <v>0</v>
      </c>
      <c r="K79" s="126">
        <v>151208.68</v>
      </c>
      <c r="L79" s="87">
        <f t="shared" si="3"/>
        <v>-151208.68</v>
      </c>
      <c r="M79" s="89">
        <f t="shared" si="4"/>
        <v>0</v>
      </c>
    </row>
    <row r="80" spans="1:13" s="10" customFormat="1" ht="59.25" customHeight="1">
      <c r="A80" s="9">
        <v>41051200</v>
      </c>
      <c r="B80" s="74" t="s">
        <v>199</v>
      </c>
      <c r="C80" s="98">
        <v>160265</v>
      </c>
      <c r="D80" s="98">
        <v>169600</v>
      </c>
      <c r="E80" s="123">
        <v>128164</v>
      </c>
      <c r="F80" s="123">
        <v>45773</v>
      </c>
      <c r="G80" s="7">
        <f>IF(E80=0,0,F80/E80%)</f>
        <v>35.714397178614895</v>
      </c>
      <c r="H80" s="7">
        <f>IF(D80=0,0,F80/D80%)</f>
        <v>26.98879716981132</v>
      </c>
      <c r="I80" s="8">
        <f t="shared" si="15"/>
        <v>-82391</v>
      </c>
      <c r="J80" s="8">
        <f>F80-D80</f>
        <v>-123827</v>
      </c>
      <c r="K80" s="126">
        <v>21575</v>
      </c>
      <c r="L80" s="87">
        <f>F80-K80</f>
        <v>24198</v>
      </c>
      <c r="M80" s="89">
        <f>IF(K80=0,0,F80/K80*100)</f>
        <v>212.15758980301277</v>
      </c>
    </row>
    <row r="81" spans="1:13" s="10" customFormat="1" ht="63.75" customHeight="1">
      <c r="A81" s="9">
        <v>41051400</v>
      </c>
      <c r="B81" s="74" t="s">
        <v>200</v>
      </c>
      <c r="C81" s="98"/>
      <c r="D81" s="98">
        <v>196602</v>
      </c>
      <c r="E81" s="98">
        <v>138697</v>
      </c>
      <c r="F81" s="98">
        <v>41664</v>
      </c>
      <c r="G81" s="7">
        <f>IF(E81=0,0,F81/E81%)</f>
        <v>30.03958268744097</v>
      </c>
      <c r="H81" s="7">
        <f>IF(D81=0,0,F81/D81%)</f>
        <v>21.192052980132452</v>
      </c>
      <c r="I81" s="8">
        <f t="shared" si="15"/>
        <v>-97033</v>
      </c>
      <c r="J81" s="8">
        <f>F81-D81</f>
        <v>-154938</v>
      </c>
      <c r="K81" s="130">
        <v>165666</v>
      </c>
      <c r="L81" s="87">
        <f>IF(K81=0,0,F81-K81)</f>
        <v>-124002</v>
      </c>
      <c r="M81" s="89">
        <f>IF(K81=0,0,F81/K81*100)</f>
        <v>25.149396979464704</v>
      </c>
    </row>
    <row r="82" spans="1:13" s="10" customFormat="1" ht="48" customHeight="1">
      <c r="A82" s="9">
        <v>41051500</v>
      </c>
      <c r="B82" s="74" t="s">
        <v>108</v>
      </c>
      <c r="C82" s="98">
        <v>34100</v>
      </c>
      <c r="D82" s="98">
        <v>34100</v>
      </c>
      <c r="E82" s="123">
        <v>34100</v>
      </c>
      <c r="F82" s="123">
        <v>34094.5</v>
      </c>
      <c r="G82" s="7">
        <f t="shared" si="5"/>
        <v>99.98387096774194</v>
      </c>
      <c r="H82" s="7">
        <f t="shared" si="16"/>
        <v>99.98387096774194</v>
      </c>
      <c r="I82" s="8">
        <f t="shared" si="6"/>
        <v>-5.5</v>
      </c>
      <c r="J82" s="8">
        <f t="shared" si="14"/>
        <v>-5.5</v>
      </c>
      <c r="K82" s="130">
        <v>90299</v>
      </c>
      <c r="L82" s="87">
        <f t="shared" si="3"/>
        <v>-56204.5</v>
      </c>
      <c r="M82" s="89">
        <f t="shared" si="4"/>
        <v>37.75733950542088</v>
      </c>
    </row>
    <row r="83" spans="1:13" s="10" customFormat="1" ht="52.5" customHeight="1" hidden="1">
      <c r="A83" s="9">
        <v>41051600</v>
      </c>
      <c r="B83" s="75" t="s">
        <v>110</v>
      </c>
      <c r="C83" s="98"/>
      <c r="D83" s="98"/>
      <c r="E83" s="99"/>
      <c r="F83" s="99"/>
      <c r="G83" s="7">
        <f t="shared" si="5"/>
        <v>0</v>
      </c>
      <c r="H83" s="7">
        <f t="shared" si="16"/>
        <v>0</v>
      </c>
      <c r="I83" s="61">
        <f t="shared" si="6"/>
        <v>0</v>
      </c>
      <c r="J83" s="8">
        <f t="shared" si="14"/>
        <v>0</v>
      </c>
      <c r="K83" s="126"/>
      <c r="L83" s="87">
        <f t="shared" si="3"/>
        <v>0</v>
      </c>
      <c r="M83" s="89">
        <f t="shared" si="4"/>
        <v>0</v>
      </c>
    </row>
    <row r="84" spans="1:13" s="10" customFormat="1" ht="57" customHeight="1">
      <c r="A84" s="9">
        <v>41052000</v>
      </c>
      <c r="B84" s="18" t="s">
        <v>111</v>
      </c>
      <c r="C84" s="98"/>
      <c r="D84" s="98"/>
      <c r="E84" s="99"/>
      <c r="F84" s="99"/>
      <c r="G84" s="7">
        <f t="shared" si="5"/>
        <v>0</v>
      </c>
      <c r="H84" s="7">
        <f t="shared" si="16"/>
        <v>0</v>
      </c>
      <c r="I84" s="8">
        <f t="shared" si="6"/>
        <v>0</v>
      </c>
      <c r="J84" s="8">
        <f t="shared" si="14"/>
        <v>0</v>
      </c>
      <c r="K84" s="130">
        <v>48238.5</v>
      </c>
      <c r="L84" s="87">
        <f t="shared" si="3"/>
        <v>-48238.5</v>
      </c>
      <c r="M84" s="89">
        <f t="shared" si="4"/>
        <v>0</v>
      </c>
    </row>
    <row r="85" spans="1:13" s="10" customFormat="1" ht="21" customHeight="1">
      <c r="A85" s="9">
        <v>41053900</v>
      </c>
      <c r="B85" s="18" t="s">
        <v>113</v>
      </c>
      <c r="C85" s="98">
        <v>98388</v>
      </c>
      <c r="D85" s="98">
        <v>98388</v>
      </c>
      <c r="E85" s="123">
        <v>40660</v>
      </c>
      <c r="F85" s="123">
        <v>30660</v>
      </c>
      <c r="G85" s="7">
        <f t="shared" si="5"/>
        <v>75.40580423020167</v>
      </c>
      <c r="H85" s="7">
        <f t="shared" si="16"/>
        <v>31.162336870350043</v>
      </c>
      <c r="I85" s="8">
        <f t="shared" si="6"/>
        <v>-10000</v>
      </c>
      <c r="J85" s="8">
        <f t="shared" si="14"/>
        <v>-67728</v>
      </c>
      <c r="K85" s="78"/>
      <c r="L85" s="87">
        <f t="shared" si="3"/>
        <v>0</v>
      </c>
      <c r="M85" s="89">
        <f t="shared" si="4"/>
        <v>0</v>
      </c>
    </row>
    <row r="86" spans="1:13" s="10" customFormat="1" ht="108" hidden="1">
      <c r="A86" s="9">
        <v>41054100</v>
      </c>
      <c r="B86" s="31" t="s">
        <v>114</v>
      </c>
      <c r="C86" s="98"/>
      <c r="D86" s="98"/>
      <c r="E86" s="99"/>
      <c r="F86" s="99"/>
      <c r="G86" s="7">
        <f t="shared" si="5"/>
        <v>0</v>
      </c>
      <c r="H86" s="7">
        <f t="shared" si="16"/>
        <v>0</v>
      </c>
      <c r="I86" s="8">
        <f t="shared" si="6"/>
        <v>0</v>
      </c>
      <c r="J86" s="8">
        <f t="shared" si="14"/>
        <v>0</v>
      </c>
      <c r="K86" s="78"/>
      <c r="L86" s="87">
        <f t="shared" si="3"/>
        <v>0</v>
      </c>
      <c r="M86" s="89">
        <f t="shared" si="4"/>
        <v>0</v>
      </c>
    </row>
    <row r="87" spans="1:13" s="10" customFormat="1" ht="58.5" customHeight="1" hidden="1">
      <c r="A87" s="9">
        <v>41054300</v>
      </c>
      <c r="B87" s="31" t="s">
        <v>238</v>
      </c>
      <c r="C87" s="98"/>
      <c r="D87" s="98"/>
      <c r="E87" s="99"/>
      <c r="F87" s="99"/>
      <c r="G87" s="7">
        <f>IF(E87=0,0,F87/E87%)</f>
        <v>0</v>
      </c>
      <c r="H87" s="7">
        <f>IF(D87=0,0,F87/D87%)</f>
        <v>0</v>
      </c>
      <c r="I87" s="8">
        <f>F87-E87</f>
        <v>0</v>
      </c>
      <c r="J87" s="8">
        <f>F87-D87</f>
        <v>0</v>
      </c>
      <c r="K87" s="78"/>
      <c r="L87" s="87">
        <f>IF(K87=0,0,F87-K87)</f>
        <v>0</v>
      </c>
      <c r="M87" s="89">
        <f>IF(K87=0,0,F87/K87*100)</f>
        <v>0</v>
      </c>
    </row>
    <row r="88" spans="1:13" s="10" customFormat="1" ht="58.5" customHeight="1">
      <c r="A88" s="9">
        <v>41055000</v>
      </c>
      <c r="B88" s="31" t="s">
        <v>261</v>
      </c>
      <c r="C88" s="98"/>
      <c r="D88" s="123">
        <v>343230</v>
      </c>
      <c r="E88" s="123">
        <v>252770</v>
      </c>
      <c r="F88" s="123">
        <v>252770</v>
      </c>
      <c r="G88" s="7">
        <f>IF(E88=0,0,F88/E88%)</f>
        <v>100.00000000000001</v>
      </c>
      <c r="H88" s="7">
        <f>IF(D88=0,0,F88/D88%)</f>
        <v>73.64449494508055</v>
      </c>
      <c r="I88" s="8">
        <f>F88-E88</f>
        <v>0</v>
      </c>
      <c r="J88" s="8">
        <f>F88-D88</f>
        <v>-90460</v>
      </c>
      <c r="K88" s="78"/>
      <c r="L88" s="87">
        <f>IF(K88=0,0,F88-K88)</f>
        <v>0</v>
      </c>
      <c r="M88" s="89">
        <f>IF(K88=0,0,F88/K88*100)</f>
        <v>0</v>
      </c>
    </row>
    <row r="89" spans="1:13" s="32" customFormat="1" ht="19.5" customHeight="1">
      <c r="A89" s="15"/>
      <c r="B89" s="29" t="s">
        <v>37</v>
      </c>
      <c r="C89" s="97">
        <f>SUM(C73:C88)</f>
        <v>21301560</v>
      </c>
      <c r="D89" s="97">
        <f>SUM(D73:D88)</f>
        <v>23484792</v>
      </c>
      <c r="E89" s="97">
        <f>SUM(E73:E88)</f>
        <v>16128201</v>
      </c>
      <c r="F89" s="97">
        <f>SUM(F73:F88)</f>
        <v>15768370.5</v>
      </c>
      <c r="G89" s="46">
        <f t="shared" si="5"/>
        <v>97.7689359154192</v>
      </c>
      <c r="H89" s="46">
        <f t="shared" si="16"/>
        <v>67.14290039273075</v>
      </c>
      <c r="I89" s="30">
        <f aca="true" t="shared" si="17" ref="I89:I119">F89-E89</f>
        <v>-359830.5</v>
      </c>
      <c r="J89" s="30">
        <f t="shared" si="14"/>
        <v>-7716421.5</v>
      </c>
      <c r="K89" s="90">
        <f>SUM(K73:K88)</f>
        <v>19914261.18</v>
      </c>
      <c r="L89" s="77">
        <f t="shared" si="3"/>
        <v>-4145890.6799999997</v>
      </c>
      <c r="M89" s="88">
        <f t="shared" si="4"/>
        <v>79.18129805305686</v>
      </c>
    </row>
    <row r="90" spans="1:13" s="32" customFormat="1" ht="18" customHeight="1">
      <c r="A90" s="33"/>
      <c r="B90" s="13" t="s">
        <v>19</v>
      </c>
      <c r="C90" s="59">
        <f>C71+C89</f>
        <v>71087750</v>
      </c>
      <c r="D90" s="59">
        <f>D71+D89</f>
        <v>72748682</v>
      </c>
      <c r="E90" s="59">
        <f>E71+E89</f>
        <v>43546575</v>
      </c>
      <c r="F90" s="59">
        <f>F71+F89</f>
        <v>42917347.230000004</v>
      </c>
      <c r="G90" s="46">
        <f t="shared" si="5"/>
        <v>98.5550464761006</v>
      </c>
      <c r="H90" s="46">
        <f t="shared" si="16"/>
        <v>58.99398593915421</v>
      </c>
      <c r="I90" s="30">
        <f t="shared" si="17"/>
        <v>-629227.7699999958</v>
      </c>
      <c r="J90" s="30">
        <f t="shared" si="14"/>
        <v>-29831334.769999996</v>
      </c>
      <c r="K90" s="90">
        <f>SUM(K89,K71)</f>
        <v>46572342.900000006</v>
      </c>
      <c r="L90" s="77">
        <f t="shared" si="3"/>
        <v>-3654995.670000002</v>
      </c>
      <c r="M90" s="88">
        <f t="shared" si="4"/>
        <v>92.15200386665538</v>
      </c>
    </row>
    <row r="91" spans="1:13" s="10" customFormat="1" ht="18" customHeight="1">
      <c r="A91" s="12"/>
      <c r="B91" s="14" t="s">
        <v>4</v>
      </c>
      <c r="C91" s="98"/>
      <c r="D91" s="98"/>
      <c r="E91" s="98"/>
      <c r="F91" s="98"/>
      <c r="G91" s="7"/>
      <c r="H91" s="7"/>
      <c r="I91" s="30"/>
      <c r="J91" s="30"/>
      <c r="K91" s="78"/>
      <c r="L91" s="87">
        <f t="shared" si="3"/>
        <v>0</v>
      </c>
      <c r="M91" s="89">
        <f t="shared" si="4"/>
        <v>0</v>
      </c>
    </row>
    <row r="92" spans="1:13" s="32" customFormat="1" ht="18" customHeight="1">
      <c r="A92" s="33">
        <v>19000000</v>
      </c>
      <c r="B92" s="16" t="s">
        <v>103</v>
      </c>
      <c r="C92" s="97">
        <f>C93</f>
        <v>70000</v>
      </c>
      <c r="D92" s="97">
        <f>D93</f>
        <v>70000</v>
      </c>
      <c r="E92" s="97">
        <f>E93</f>
        <v>58500</v>
      </c>
      <c r="F92" s="97">
        <f>F93</f>
        <v>39677.119999999995</v>
      </c>
      <c r="G92" s="46">
        <f t="shared" si="5"/>
        <v>67.82413675213674</v>
      </c>
      <c r="H92" s="46">
        <f t="shared" si="16"/>
        <v>56.681599999999996</v>
      </c>
      <c r="I92" s="30">
        <f t="shared" si="17"/>
        <v>-18822.880000000005</v>
      </c>
      <c r="J92" s="30">
        <f t="shared" si="14"/>
        <v>-30322.880000000005</v>
      </c>
      <c r="K92" s="90">
        <f>SUM(K93)</f>
        <v>61878.310000000005</v>
      </c>
      <c r="L92" s="77">
        <f t="shared" si="3"/>
        <v>-22201.19000000001</v>
      </c>
      <c r="M92" s="88">
        <f t="shared" si="4"/>
        <v>64.12120822304293</v>
      </c>
    </row>
    <row r="93" spans="1:13" s="32" customFormat="1" ht="18" customHeight="1">
      <c r="A93" s="33">
        <v>19010000</v>
      </c>
      <c r="B93" s="21" t="s">
        <v>99</v>
      </c>
      <c r="C93" s="97">
        <f>C94+C95+C96</f>
        <v>70000</v>
      </c>
      <c r="D93" s="97">
        <f>D94+D95+D96</f>
        <v>70000</v>
      </c>
      <c r="E93" s="97">
        <f>E94+E95+E96</f>
        <v>58500</v>
      </c>
      <c r="F93" s="97">
        <f>F94+F95+F96</f>
        <v>39677.119999999995</v>
      </c>
      <c r="G93" s="46">
        <f t="shared" si="5"/>
        <v>67.82413675213674</v>
      </c>
      <c r="H93" s="46">
        <f t="shared" si="16"/>
        <v>56.681599999999996</v>
      </c>
      <c r="I93" s="30">
        <f t="shared" si="17"/>
        <v>-18822.880000000005</v>
      </c>
      <c r="J93" s="30">
        <f t="shared" si="14"/>
        <v>-30322.880000000005</v>
      </c>
      <c r="K93" s="90">
        <f>SUM(K94:K96)</f>
        <v>61878.310000000005</v>
      </c>
      <c r="L93" s="77">
        <f t="shared" si="3"/>
        <v>-22201.19000000001</v>
      </c>
      <c r="M93" s="88">
        <f t="shared" si="4"/>
        <v>64.12120822304293</v>
      </c>
    </row>
    <row r="94" spans="1:13" s="10" customFormat="1" ht="43.5" customHeight="1">
      <c r="A94" s="12">
        <v>19010100</v>
      </c>
      <c r="B94" s="23" t="s">
        <v>100</v>
      </c>
      <c r="C94" s="98">
        <v>60000</v>
      </c>
      <c r="D94" s="98">
        <v>60000</v>
      </c>
      <c r="E94" s="98">
        <v>50000</v>
      </c>
      <c r="F94" s="99">
        <v>33149.09</v>
      </c>
      <c r="G94" s="7">
        <f t="shared" si="5"/>
        <v>66.29817999999999</v>
      </c>
      <c r="H94" s="7">
        <f t="shared" si="16"/>
        <v>55.248483333333326</v>
      </c>
      <c r="I94" s="8">
        <f t="shared" si="17"/>
        <v>-16850.910000000003</v>
      </c>
      <c r="J94" s="8">
        <f t="shared" si="14"/>
        <v>-26850.910000000003</v>
      </c>
      <c r="K94" s="130">
        <v>52995.98</v>
      </c>
      <c r="L94" s="87">
        <f t="shared" si="3"/>
        <v>-19846.890000000007</v>
      </c>
      <c r="M94" s="89">
        <f t="shared" si="4"/>
        <v>62.55019720363695</v>
      </c>
    </row>
    <row r="95" spans="1:13" s="10" customFormat="1" ht="36.75" customHeight="1" hidden="1">
      <c r="A95" s="12">
        <v>19010200</v>
      </c>
      <c r="B95" s="23" t="s">
        <v>101</v>
      </c>
      <c r="C95" s="98">
        <v>0</v>
      </c>
      <c r="D95" s="98">
        <v>0</v>
      </c>
      <c r="E95" s="98"/>
      <c r="F95" s="99"/>
      <c r="G95" s="7">
        <f t="shared" si="5"/>
        <v>0</v>
      </c>
      <c r="H95" s="7">
        <f t="shared" si="16"/>
        <v>0</v>
      </c>
      <c r="I95" s="8">
        <f t="shared" si="17"/>
        <v>0</v>
      </c>
      <c r="J95" s="8">
        <f t="shared" si="14"/>
        <v>0</v>
      </c>
      <c r="K95" s="107"/>
      <c r="L95" s="87">
        <f t="shared" si="3"/>
        <v>0</v>
      </c>
      <c r="M95" s="89">
        <f t="shared" si="4"/>
        <v>0</v>
      </c>
    </row>
    <row r="96" spans="1:13" s="10" customFormat="1" ht="56.25" customHeight="1">
      <c r="A96" s="12">
        <v>19010300</v>
      </c>
      <c r="B96" s="23" t="s">
        <v>102</v>
      </c>
      <c r="C96" s="98">
        <v>10000</v>
      </c>
      <c r="D96" s="98">
        <v>10000</v>
      </c>
      <c r="E96" s="98">
        <v>8500</v>
      </c>
      <c r="F96" s="99">
        <v>6528.03</v>
      </c>
      <c r="G96" s="7">
        <f t="shared" si="5"/>
        <v>76.80035294117647</v>
      </c>
      <c r="H96" s="7">
        <f t="shared" si="16"/>
        <v>65.2803</v>
      </c>
      <c r="I96" s="8">
        <f t="shared" si="17"/>
        <v>-1971.9700000000003</v>
      </c>
      <c r="J96" s="8">
        <f t="shared" si="14"/>
        <v>-3471.9700000000003</v>
      </c>
      <c r="K96" s="130">
        <v>8882.33</v>
      </c>
      <c r="L96" s="87">
        <f t="shared" si="3"/>
        <v>-2354.3</v>
      </c>
      <c r="M96" s="89">
        <f t="shared" si="4"/>
        <v>73.49456730384932</v>
      </c>
    </row>
    <row r="97" spans="1:13" s="32" customFormat="1" ht="24.75" customHeight="1">
      <c r="A97" s="33">
        <v>24060000</v>
      </c>
      <c r="B97" s="62" t="s">
        <v>3</v>
      </c>
      <c r="C97" s="97">
        <f>C98</f>
        <v>0</v>
      </c>
      <c r="D97" s="97">
        <f>D98</f>
        <v>0</v>
      </c>
      <c r="E97" s="97">
        <f>E98</f>
        <v>0</v>
      </c>
      <c r="F97" s="97">
        <f>F98</f>
        <v>807.5</v>
      </c>
      <c r="G97" s="46">
        <f>IF(E97=0,0,F97/E97%)</f>
        <v>0</v>
      </c>
      <c r="H97" s="46">
        <f>IF(D97=0,0,F97/D97%)</f>
        <v>0</v>
      </c>
      <c r="I97" s="30">
        <f>F97-E97</f>
        <v>807.5</v>
      </c>
      <c r="J97" s="30">
        <f>F97-D97</f>
        <v>807.5</v>
      </c>
      <c r="K97" s="90">
        <f>K98</f>
        <v>8520.49</v>
      </c>
      <c r="L97" s="77">
        <f>IF(K97=0,0,F97-K97)</f>
        <v>-7712.99</v>
      </c>
      <c r="M97" s="88">
        <f>IF(K97=0,0,F97/K97*100)</f>
        <v>9.477154482899458</v>
      </c>
    </row>
    <row r="98" spans="1:13" s="10" customFormat="1" ht="56.25" customHeight="1">
      <c r="A98" s="12">
        <v>24062100</v>
      </c>
      <c r="B98" s="23" t="s">
        <v>193</v>
      </c>
      <c r="C98" s="98">
        <v>0</v>
      </c>
      <c r="D98" s="98">
        <v>0</v>
      </c>
      <c r="E98" s="98"/>
      <c r="F98" s="98">
        <v>807.5</v>
      </c>
      <c r="G98" s="7">
        <f>IF(E98=0,0,F98/E98%)</f>
        <v>0</v>
      </c>
      <c r="H98" s="7">
        <f>IF(D98=0,0,F98/D98%)</f>
        <v>0</v>
      </c>
      <c r="I98" s="8">
        <f>F98-E98</f>
        <v>807.5</v>
      </c>
      <c r="J98" s="8">
        <f>F98-D98</f>
        <v>807.5</v>
      </c>
      <c r="K98" s="78">
        <v>8520.49</v>
      </c>
      <c r="L98" s="87">
        <f>IF(K98=0,0,F98-K98)</f>
        <v>-7712.99</v>
      </c>
      <c r="M98" s="89">
        <f>IF(K98=0,0,F98/K98*100)</f>
        <v>9.477154482899458</v>
      </c>
    </row>
    <row r="99" spans="1:13" s="32" customFormat="1" ht="18" customHeight="1">
      <c r="A99" s="33">
        <v>25000000</v>
      </c>
      <c r="B99" s="29" t="s">
        <v>55</v>
      </c>
      <c r="C99" s="97">
        <f>C100+C104</f>
        <v>346127</v>
      </c>
      <c r="D99" s="97">
        <f>D100+D104</f>
        <v>346127</v>
      </c>
      <c r="E99" s="97">
        <f>E100+E104</f>
        <v>230752</v>
      </c>
      <c r="F99" s="97">
        <f>F100+F104</f>
        <v>741642.62</v>
      </c>
      <c r="G99" s="46">
        <f t="shared" si="5"/>
        <v>321.4024667175149</v>
      </c>
      <c r="H99" s="46">
        <f t="shared" si="16"/>
        <v>214.26893019036365</v>
      </c>
      <c r="I99" s="30">
        <f t="shared" si="17"/>
        <v>510890.62</v>
      </c>
      <c r="J99" s="30">
        <f aca="true" t="shared" si="18" ref="J99:J106">F99-D99</f>
        <v>395515.62</v>
      </c>
      <c r="K99" s="90">
        <f>SUM(K100,K104)</f>
        <v>253370.53000000003</v>
      </c>
      <c r="L99" s="77">
        <f aca="true" t="shared" si="19" ref="L99:L176">IF(K99=0,0,F99-K99)</f>
        <v>488272.08999999997</v>
      </c>
      <c r="M99" s="88">
        <f aca="true" t="shared" si="20" ref="M99:M176">IF(K99=0,0,F99/K99*100)</f>
        <v>292.7106873873611</v>
      </c>
    </row>
    <row r="100" spans="1:13" s="32" customFormat="1" ht="39.75" customHeight="1">
      <c r="A100" s="15">
        <v>25010000</v>
      </c>
      <c r="B100" s="16" t="s">
        <v>42</v>
      </c>
      <c r="C100" s="97">
        <f>C101+C102+C103</f>
        <v>346127</v>
      </c>
      <c r="D100" s="97">
        <f>D101+D102+D103</f>
        <v>346127</v>
      </c>
      <c r="E100" s="97">
        <f>E101+E102+E103</f>
        <v>230752</v>
      </c>
      <c r="F100" s="97">
        <f>F101+F102+F103</f>
        <v>86636.51000000001</v>
      </c>
      <c r="G100" s="46">
        <f t="shared" si="5"/>
        <v>37.54529104839828</v>
      </c>
      <c r="H100" s="46">
        <f t="shared" si="16"/>
        <v>25.030266347323384</v>
      </c>
      <c r="I100" s="30">
        <f t="shared" si="17"/>
        <v>-144115.49</v>
      </c>
      <c r="J100" s="30">
        <f t="shared" si="18"/>
        <v>-259490.49</v>
      </c>
      <c r="K100" s="90">
        <f>SUM(K101:K103)</f>
        <v>159550.55000000002</v>
      </c>
      <c r="L100" s="77">
        <f t="shared" si="19"/>
        <v>-72914.04000000001</v>
      </c>
      <c r="M100" s="88">
        <f t="shared" si="20"/>
        <v>54.30035183206827</v>
      </c>
    </row>
    <row r="101" spans="1:13" s="10" customFormat="1" ht="39.75" customHeight="1">
      <c r="A101" s="9">
        <v>25010100</v>
      </c>
      <c r="B101" s="17" t="s">
        <v>45</v>
      </c>
      <c r="C101" s="98">
        <v>328027</v>
      </c>
      <c r="D101" s="98">
        <v>328027</v>
      </c>
      <c r="E101" s="98">
        <v>218685</v>
      </c>
      <c r="F101" s="129">
        <v>62188.33</v>
      </c>
      <c r="G101" s="7">
        <f t="shared" si="5"/>
        <v>28.437400827674512</v>
      </c>
      <c r="H101" s="7">
        <f t="shared" si="16"/>
        <v>18.95829611586851</v>
      </c>
      <c r="I101" s="8">
        <f t="shared" si="17"/>
        <v>-156496.66999999998</v>
      </c>
      <c r="J101" s="8">
        <f t="shared" si="18"/>
        <v>-265838.67</v>
      </c>
      <c r="K101" s="130">
        <v>139311.2</v>
      </c>
      <c r="L101" s="87">
        <f t="shared" si="19"/>
        <v>-77122.87000000001</v>
      </c>
      <c r="M101" s="89">
        <f t="shared" si="20"/>
        <v>44.63986384440016</v>
      </c>
    </row>
    <row r="102" spans="1:13" s="10" customFormat="1" ht="29.25" customHeight="1">
      <c r="A102" s="9">
        <v>25010300</v>
      </c>
      <c r="B102" s="17" t="s">
        <v>179</v>
      </c>
      <c r="C102" s="98">
        <v>18100</v>
      </c>
      <c r="D102" s="98">
        <v>18100</v>
      </c>
      <c r="E102" s="99">
        <v>12067</v>
      </c>
      <c r="F102" s="129">
        <v>24068.18</v>
      </c>
      <c r="G102" s="7">
        <f t="shared" si="5"/>
        <v>199.45454545454547</v>
      </c>
      <c r="H102" s="7">
        <f t="shared" si="16"/>
        <v>132.97337016574585</v>
      </c>
      <c r="I102" s="8">
        <f t="shared" si="17"/>
        <v>12001.18</v>
      </c>
      <c r="J102" s="8">
        <f t="shared" si="18"/>
        <v>5968.18</v>
      </c>
      <c r="K102" s="130">
        <v>19977.75</v>
      </c>
      <c r="L102" s="87">
        <f t="shared" si="19"/>
        <v>4090.4300000000003</v>
      </c>
      <c r="M102" s="89">
        <f t="shared" si="20"/>
        <v>120.47492835779805</v>
      </c>
    </row>
    <row r="103" spans="1:13" s="10" customFormat="1" ht="44.25" customHeight="1">
      <c r="A103" s="9">
        <v>25010400</v>
      </c>
      <c r="B103" s="17" t="s">
        <v>217</v>
      </c>
      <c r="C103" s="98"/>
      <c r="D103" s="99"/>
      <c r="E103" s="99"/>
      <c r="F103" s="129">
        <v>380</v>
      </c>
      <c r="G103" s="7">
        <f t="shared" si="5"/>
        <v>0</v>
      </c>
      <c r="H103" s="7">
        <f t="shared" si="16"/>
        <v>0</v>
      </c>
      <c r="I103" s="8">
        <f t="shared" si="17"/>
        <v>380</v>
      </c>
      <c r="J103" s="8">
        <f t="shared" si="18"/>
        <v>380</v>
      </c>
      <c r="K103" s="130">
        <v>261.6</v>
      </c>
      <c r="L103" s="87">
        <f t="shared" si="19"/>
        <v>118.39999999999998</v>
      </c>
      <c r="M103" s="89">
        <f t="shared" si="20"/>
        <v>145.2599388379205</v>
      </c>
    </row>
    <row r="104" spans="1:13" s="32" customFormat="1" ht="22.5" customHeight="1">
      <c r="A104" s="15">
        <v>25020000</v>
      </c>
      <c r="B104" s="26" t="s">
        <v>177</v>
      </c>
      <c r="C104" s="97">
        <f>C105+C106</f>
        <v>0</v>
      </c>
      <c r="D104" s="97">
        <f>D105+D106</f>
        <v>0</v>
      </c>
      <c r="E104" s="97">
        <f>E105+E106</f>
        <v>0</v>
      </c>
      <c r="F104" s="97">
        <f>F105+F106</f>
        <v>655006.11</v>
      </c>
      <c r="G104" s="46">
        <f t="shared" si="5"/>
        <v>0</v>
      </c>
      <c r="H104" s="46">
        <f t="shared" si="16"/>
        <v>0</v>
      </c>
      <c r="I104" s="30">
        <f t="shared" si="17"/>
        <v>655006.11</v>
      </c>
      <c r="J104" s="30">
        <f t="shared" si="18"/>
        <v>655006.11</v>
      </c>
      <c r="K104" s="90">
        <f>SUM(K105:K106)</f>
        <v>93819.98</v>
      </c>
      <c r="L104" s="77">
        <f t="shared" si="19"/>
        <v>561186.13</v>
      </c>
      <c r="M104" s="88">
        <f t="shared" si="20"/>
        <v>698.1520460780316</v>
      </c>
    </row>
    <row r="105" spans="1:13" s="10" customFormat="1" ht="22.5" customHeight="1">
      <c r="A105" s="9">
        <v>25020100</v>
      </c>
      <c r="B105" s="25" t="s">
        <v>180</v>
      </c>
      <c r="C105" s="98"/>
      <c r="D105" s="99"/>
      <c r="E105" s="99">
        <v>0</v>
      </c>
      <c r="F105" s="99">
        <v>1</v>
      </c>
      <c r="G105" s="7">
        <f t="shared" si="5"/>
        <v>0</v>
      </c>
      <c r="H105" s="7">
        <f t="shared" si="16"/>
        <v>0</v>
      </c>
      <c r="I105" s="8">
        <f t="shared" si="17"/>
        <v>1</v>
      </c>
      <c r="J105" s="8">
        <f t="shared" si="18"/>
        <v>1</v>
      </c>
      <c r="K105" s="107"/>
      <c r="L105" s="87">
        <f t="shared" si="19"/>
        <v>0</v>
      </c>
      <c r="M105" s="89">
        <f t="shared" si="20"/>
        <v>0</v>
      </c>
    </row>
    <row r="106" spans="1:13" s="10" customFormat="1" ht="110.25" customHeight="1">
      <c r="A106" s="9">
        <v>25020200</v>
      </c>
      <c r="B106" s="17" t="s">
        <v>181</v>
      </c>
      <c r="C106" s="98"/>
      <c r="D106" s="99"/>
      <c r="E106" s="99">
        <v>0</v>
      </c>
      <c r="F106" s="99">
        <v>655005.11</v>
      </c>
      <c r="G106" s="7">
        <f t="shared" si="5"/>
        <v>0</v>
      </c>
      <c r="H106" s="7">
        <f t="shared" si="16"/>
        <v>0</v>
      </c>
      <c r="I106" s="8">
        <f t="shared" si="17"/>
        <v>655005.11</v>
      </c>
      <c r="J106" s="8">
        <f t="shared" si="18"/>
        <v>655005.11</v>
      </c>
      <c r="K106" s="130">
        <v>93819.98</v>
      </c>
      <c r="L106" s="87">
        <f t="shared" si="19"/>
        <v>561185.13</v>
      </c>
      <c r="M106" s="89">
        <f t="shared" si="20"/>
        <v>698.1509802069879</v>
      </c>
    </row>
    <row r="107" spans="1:13" s="32" customFormat="1" ht="51.75" customHeight="1">
      <c r="A107" s="15">
        <v>31030000</v>
      </c>
      <c r="B107" s="19" t="s">
        <v>259</v>
      </c>
      <c r="C107" s="97">
        <f>SUM(C108)</f>
        <v>0</v>
      </c>
      <c r="D107" s="97">
        <f>SUM(D108)</f>
        <v>32900</v>
      </c>
      <c r="E107" s="97">
        <f>SUM(E108)</f>
        <v>32900</v>
      </c>
      <c r="F107" s="97">
        <f>SUM(F108)</f>
        <v>32900</v>
      </c>
      <c r="G107" s="7">
        <f>IF(E107=0,0,F107/E107%)</f>
        <v>100</v>
      </c>
      <c r="H107" s="7">
        <f>IF(D107=0,0,F107/D107%)</f>
        <v>100</v>
      </c>
      <c r="I107" s="8">
        <f>F107-E107</f>
        <v>0</v>
      </c>
      <c r="J107" s="8">
        <f>F107-D107</f>
        <v>0</v>
      </c>
      <c r="K107" s="117"/>
      <c r="L107" s="87">
        <f>F107-K107</f>
        <v>32900</v>
      </c>
      <c r="M107" s="89">
        <f>IF(K107=0,0,F107/K107*100)</f>
        <v>0</v>
      </c>
    </row>
    <row r="108" spans="1:13" s="10" customFormat="1" ht="51.75" customHeight="1">
      <c r="A108" s="9">
        <v>31030000</v>
      </c>
      <c r="B108" s="17" t="s">
        <v>259</v>
      </c>
      <c r="C108" s="98"/>
      <c r="D108" s="99">
        <v>32900</v>
      </c>
      <c r="E108" s="99">
        <v>32900</v>
      </c>
      <c r="F108" s="99">
        <v>32900</v>
      </c>
      <c r="G108" s="7">
        <f>IF(E108=0,0,F108/E108%)</f>
        <v>100</v>
      </c>
      <c r="H108" s="7">
        <f>IF(D108=0,0,F108/D108%)</f>
        <v>100</v>
      </c>
      <c r="I108" s="8">
        <f>F108-E108</f>
        <v>0</v>
      </c>
      <c r="J108" s="8">
        <f>F108-D108</f>
        <v>0</v>
      </c>
      <c r="K108" s="107"/>
      <c r="L108" s="87">
        <f aca="true" t="shared" si="21" ref="L108:L115">F108-K108</f>
        <v>32900</v>
      </c>
      <c r="M108" s="89">
        <f aca="true" t="shared" si="22" ref="M108:M115">IF(K108=0,0,F108/K108*100)</f>
        <v>0</v>
      </c>
    </row>
    <row r="109" spans="1:13" s="32" customFormat="1" ht="29.25" customHeight="1">
      <c r="A109" s="15">
        <v>33010000</v>
      </c>
      <c r="B109" s="19" t="s">
        <v>262</v>
      </c>
      <c r="C109" s="97">
        <f>SUM(C110)</f>
        <v>0</v>
      </c>
      <c r="D109" s="97">
        <f>SUM(D110)</f>
        <v>421530</v>
      </c>
      <c r="E109" s="97">
        <f>SUM(E110)</f>
        <v>421530</v>
      </c>
      <c r="F109" s="97">
        <f>SUM(F110)</f>
        <v>421552.16</v>
      </c>
      <c r="G109" s="7">
        <f>IF(E109=0,0,F109/E109%)</f>
        <v>100.00525703983108</v>
      </c>
      <c r="H109" s="7">
        <f>IF(D109=0,0,F109/D109%)</f>
        <v>100.00525703983108</v>
      </c>
      <c r="I109" s="8">
        <f>F109-E109</f>
        <v>22.15999999997439</v>
      </c>
      <c r="J109" s="8">
        <f>F109-D109</f>
        <v>22.15999999997439</v>
      </c>
      <c r="K109" s="90">
        <f>SUM(K110)</f>
        <v>0</v>
      </c>
      <c r="L109" s="87">
        <f t="shared" si="21"/>
        <v>421552.16</v>
      </c>
      <c r="M109" s="89">
        <f t="shared" si="22"/>
        <v>0</v>
      </c>
    </row>
    <row r="110" spans="1:13" s="10" customFormat="1" ht="78" customHeight="1">
      <c r="A110" s="9">
        <v>33010100</v>
      </c>
      <c r="B110" s="17" t="s">
        <v>190</v>
      </c>
      <c r="C110" s="98"/>
      <c r="D110" s="99">
        <v>421530</v>
      </c>
      <c r="E110" s="99">
        <v>421530</v>
      </c>
      <c r="F110" s="99">
        <v>421552.16</v>
      </c>
      <c r="G110" s="7">
        <f>IF(E110=0,0,F110/E110%)</f>
        <v>100.00525703983108</v>
      </c>
      <c r="H110" s="7">
        <f>IF(D110=0,0,F110/D110%)</f>
        <v>100.00525703983108</v>
      </c>
      <c r="I110" s="8">
        <f>F110-E110</f>
        <v>22.15999999997439</v>
      </c>
      <c r="J110" s="8">
        <f>F110-D110</f>
        <v>22.15999999997439</v>
      </c>
      <c r="K110" s="78"/>
      <c r="L110" s="87">
        <f t="shared" si="21"/>
        <v>421552.16</v>
      </c>
      <c r="M110" s="89">
        <f t="shared" si="22"/>
        <v>0</v>
      </c>
    </row>
    <row r="111" spans="1:13" s="10" customFormat="1" ht="39" customHeight="1">
      <c r="A111" s="9">
        <v>41051100</v>
      </c>
      <c r="B111" s="74" t="s">
        <v>109</v>
      </c>
      <c r="C111" s="98">
        <v>0</v>
      </c>
      <c r="D111" s="99">
        <v>57589</v>
      </c>
      <c r="E111" s="99">
        <v>57589</v>
      </c>
      <c r="F111" s="99"/>
      <c r="G111" s="7">
        <f t="shared" si="5"/>
        <v>0</v>
      </c>
      <c r="H111" s="7">
        <f t="shared" si="16"/>
        <v>0</v>
      </c>
      <c r="I111" s="8">
        <f t="shared" si="17"/>
        <v>-57589</v>
      </c>
      <c r="J111" s="8">
        <f aca="true" t="shared" si="23" ref="J111:J147">F111-D111</f>
        <v>-57589</v>
      </c>
      <c r="K111" s="78"/>
      <c r="L111" s="87">
        <f t="shared" si="21"/>
        <v>0</v>
      </c>
      <c r="M111" s="89">
        <f t="shared" si="22"/>
        <v>0</v>
      </c>
    </row>
    <row r="112" spans="1:13" s="10" customFormat="1" ht="93" customHeight="1">
      <c r="A112" s="9">
        <v>41052600</v>
      </c>
      <c r="B112" s="74" t="s">
        <v>198</v>
      </c>
      <c r="C112" s="98"/>
      <c r="D112" s="99">
        <v>905500</v>
      </c>
      <c r="E112" s="99">
        <v>300000</v>
      </c>
      <c r="F112" s="99">
        <v>300000</v>
      </c>
      <c r="G112" s="7">
        <f>IF(E112=0,0,F112/E112%)</f>
        <v>100</v>
      </c>
      <c r="H112" s="7">
        <f>IF(D112=0,0,F112/D112%)</f>
        <v>33.13086692435119</v>
      </c>
      <c r="I112" s="8">
        <f>F112-E112</f>
        <v>0</v>
      </c>
      <c r="J112" s="8">
        <f>F112-D112</f>
        <v>-605500</v>
      </c>
      <c r="K112" s="78"/>
      <c r="L112" s="87">
        <f t="shared" si="21"/>
        <v>300000</v>
      </c>
      <c r="M112" s="89">
        <f t="shared" si="22"/>
        <v>0</v>
      </c>
    </row>
    <row r="113" spans="1:13" s="10" customFormat="1" ht="24" customHeight="1" hidden="1">
      <c r="A113" s="34">
        <v>41053400</v>
      </c>
      <c r="B113" s="35" t="s">
        <v>112</v>
      </c>
      <c r="C113" s="98"/>
      <c r="D113" s="99">
        <v>0</v>
      </c>
      <c r="E113" s="99">
        <v>0</v>
      </c>
      <c r="F113" s="99">
        <v>0</v>
      </c>
      <c r="G113" s="7">
        <f aca="true" t="shared" si="24" ref="G113:G120">IF(E113=0,0,F113/E113%)</f>
        <v>0</v>
      </c>
      <c r="H113" s="7">
        <f aca="true" t="shared" si="25" ref="H113:H120">IF(D113=0,0,F113/D113%)</f>
        <v>0</v>
      </c>
      <c r="I113" s="8">
        <f t="shared" si="17"/>
        <v>0</v>
      </c>
      <c r="J113" s="8">
        <f t="shared" si="23"/>
        <v>0</v>
      </c>
      <c r="K113" s="78"/>
      <c r="L113" s="87">
        <f t="shared" si="21"/>
        <v>0</v>
      </c>
      <c r="M113" s="89">
        <f t="shared" si="22"/>
        <v>0</v>
      </c>
    </row>
    <row r="114" spans="1:13" s="10" customFormat="1" ht="35.25" customHeight="1" hidden="1">
      <c r="A114" s="64">
        <v>41053700</v>
      </c>
      <c r="B114" s="65" t="s">
        <v>215</v>
      </c>
      <c r="C114" s="99">
        <v>0</v>
      </c>
      <c r="D114" s="99">
        <v>0</v>
      </c>
      <c r="E114" s="99"/>
      <c r="F114" s="99"/>
      <c r="G114" s="7">
        <f>IF(E114=0,0,F114/E114%)</f>
        <v>0</v>
      </c>
      <c r="H114" s="7">
        <f>IF(D114=0,0,F114/D114%)</f>
        <v>0</v>
      </c>
      <c r="I114" s="8">
        <f>F114-E114</f>
        <v>0</v>
      </c>
      <c r="J114" s="8">
        <f>F114-D114</f>
        <v>0</v>
      </c>
      <c r="K114" s="78"/>
      <c r="L114" s="87">
        <f t="shared" si="21"/>
        <v>0</v>
      </c>
      <c r="M114" s="89">
        <f t="shared" si="22"/>
        <v>0</v>
      </c>
    </row>
    <row r="115" spans="1:13" s="10" customFormat="1" ht="24" customHeight="1">
      <c r="A115" s="9">
        <v>41053900</v>
      </c>
      <c r="B115" s="18" t="s">
        <v>113</v>
      </c>
      <c r="C115" s="98"/>
      <c r="D115" s="99">
        <v>924794</v>
      </c>
      <c r="E115" s="99">
        <v>924794</v>
      </c>
      <c r="F115" s="99">
        <v>924794</v>
      </c>
      <c r="G115" s="7">
        <f t="shared" si="24"/>
        <v>100</v>
      </c>
      <c r="H115" s="7">
        <f t="shared" si="25"/>
        <v>100</v>
      </c>
      <c r="I115" s="8">
        <f t="shared" si="17"/>
        <v>0</v>
      </c>
      <c r="J115" s="8">
        <f t="shared" si="23"/>
        <v>0</v>
      </c>
      <c r="K115" s="131">
        <v>2050680</v>
      </c>
      <c r="L115" s="87">
        <f t="shared" si="21"/>
        <v>-1125886</v>
      </c>
      <c r="M115" s="89">
        <f t="shared" si="22"/>
        <v>45.096943452903425</v>
      </c>
    </row>
    <row r="116" spans="1:13" s="10" customFormat="1" ht="72.75" customHeight="1">
      <c r="A116" s="64">
        <v>41054000</v>
      </c>
      <c r="B116" s="65" t="s">
        <v>216</v>
      </c>
      <c r="C116" s="99">
        <v>0</v>
      </c>
      <c r="D116" s="99">
        <v>0</v>
      </c>
      <c r="E116" s="99"/>
      <c r="F116" s="99"/>
      <c r="G116" s="7">
        <f>IF(E116=0,0,F116/E116%)</f>
        <v>0</v>
      </c>
      <c r="H116" s="7">
        <f>IF(D116=0,0,F116/D116%)</f>
        <v>0</v>
      </c>
      <c r="I116" s="8">
        <f>F116-E116</f>
        <v>0</v>
      </c>
      <c r="J116" s="8">
        <f>F116-D116</f>
        <v>0</v>
      </c>
      <c r="K116" s="131">
        <v>4008331</v>
      </c>
      <c r="L116" s="87">
        <f>IF(K116=0,0,F116-K116)</f>
        <v>-4008331</v>
      </c>
      <c r="M116" s="89">
        <f>IF(K116=0,0,F116/K116*100)</f>
        <v>0</v>
      </c>
    </row>
    <row r="117" spans="1:13" s="10" customFormat="1" ht="117.75" customHeight="1" hidden="1">
      <c r="A117" s="9">
        <v>41054100</v>
      </c>
      <c r="B117" s="31" t="s">
        <v>114</v>
      </c>
      <c r="C117" s="98"/>
      <c r="D117" s="99">
        <v>0</v>
      </c>
      <c r="E117" s="99"/>
      <c r="F117" s="99"/>
      <c r="G117" s="7">
        <f t="shared" si="24"/>
        <v>0</v>
      </c>
      <c r="H117" s="7">
        <f t="shared" si="25"/>
        <v>0</v>
      </c>
      <c r="I117" s="8">
        <f t="shared" si="17"/>
        <v>0</v>
      </c>
      <c r="J117" s="8">
        <f t="shared" si="23"/>
        <v>0</v>
      </c>
      <c r="K117" s="78"/>
      <c r="L117" s="87">
        <f t="shared" si="19"/>
        <v>0</v>
      </c>
      <c r="M117" s="89">
        <f t="shared" si="20"/>
        <v>0</v>
      </c>
    </row>
    <row r="118" spans="1:13" s="32" customFormat="1" ht="27" customHeight="1">
      <c r="A118" s="15">
        <v>50000000</v>
      </c>
      <c r="B118" s="36" t="s">
        <v>115</v>
      </c>
      <c r="C118" s="97">
        <f>C119</f>
        <v>18000</v>
      </c>
      <c r="D118" s="97">
        <f>D119</f>
        <v>18000</v>
      </c>
      <c r="E118" s="97">
        <v>10000</v>
      </c>
      <c r="F118" s="97">
        <f>F119</f>
        <v>22213.1</v>
      </c>
      <c r="G118" s="46">
        <f t="shared" si="24"/>
        <v>222.13099999999997</v>
      </c>
      <c r="H118" s="46">
        <f t="shared" si="25"/>
        <v>123.4061111111111</v>
      </c>
      <c r="I118" s="30">
        <f t="shared" si="17"/>
        <v>12213.099999999999</v>
      </c>
      <c r="J118" s="30">
        <f t="shared" si="23"/>
        <v>4213.0999999999985</v>
      </c>
      <c r="K118" s="90">
        <f>SUM(K119)</f>
        <v>12877.37</v>
      </c>
      <c r="L118" s="77">
        <f t="shared" si="19"/>
        <v>9335.729999999998</v>
      </c>
      <c r="M118" s="88">
        <f t="shared" si="20"/>
        <v>172.49717916003033</v>
      </c>
    </row>
    <row r="119" spans="1:13" s="10" customFormat="1" ht="58.5" customHeight="1">
      <c r="A119" s="9">
        <v>50110000</v>
      </c>
      <c r="B119" s="31" t="s">
        <v>116</v>
      </c>
      <c r="C119" s="98">
        <v>18000</v>
      </c>
      <c r="D119" s="99">
        <v>18000</v>
      </c>
      <c r="E119" s="99"/>
      <c r="F119" s="99">
        <v>22213.1</v>
      </c>
      <c r="G119" s="7">
        <f t="shared" si="24"/>
        <v>0</v>
      </c>
      <c r="H119" s="7">
        <f t="shared" si="25"/>
        <v>123.4061111111111</v>
      </c>
      <c r="I119" s="8">
        <f t="shared" si="17"/>
        <v>22213.1</v>
      </c>
      <c r="J119" s="8">
        <f t="shared" si="23"/>
        <v>4213.0999999999985</v>
      </c>
      <c r="K119" s="130">
        <v>12877.37</v>
      </c>
      <c r="L119" s="87">
        <f t="shared" si="19"/>
        <v>9335.729999999998</v>
      </c>
      <c r="M119" s="89">
        <f t="shared" si="20"/>
        <v>172.49717916003033</v>
      </c>
    </row>
    <row r="120" spans="1:13" s="32" customFormat="1" ht="36.75" customHeight="1">
      <c r="A120" s="15"/>
      <c r="B120" s="36" t="s">
        <v>232</v>
      </c>
      <c r="C120" s="97">
        <f>SUM(C92,C97,C99,C109,C118,C107)</f>
        <v>434127</v>
      </c>
      <c r="D120" s="97">
        <f>SUM(D92,D97,D99,D109,D118,D107)</f>
        <v>888557</v>
      </c>
      <c r="E120" s="97">
        <f>SUM(E92,E97,E99,E109,E118,E107)</f>
        <v>753682</v>
      </c>
      <c r="F120" s="97">
        <f>SUM(F92,F97,F99,F109,F118,F107)</f>
        <v>1258792.5</v>
      </c>
      <c r="G120" s="46">
        <f t="shared" si="24"/>
        <v>167.01904782122966</v>
      </c>
      <c r="H120" s="46">
        <f t="shared" si="25"/>
        <v>141.6670511852363</v>
      </c>
      <c r="I120" s="30">
        <f>F120-E120</f>
        <v>505110.5</v>
      </c>
      <c r="J120" s="30">
        <f>F120-D120</f>
        <v>370235.5</v>
      </c>
      <c r="K120" s="90">
        <f>SUM(K92,K97,K99,K109,K118,K107)</f>
        <v>336646.7</v>
      </c>
      <c r="L120" s="77">
        <f>IF(K120=0,0,F120-K120)</f>
        <v>922145.8</v>
      </c>
      <c r="M120" s="88">
        <f>IF(K120=0,0,F120/K120*100)</f>
        <v>373.92093847942067</v>
      </c>
    </row>
    <row r="121" spans="1:13" s="32" customFormat="1" ht="21" customHeight="1">
      <c r="A121" s="33"/>
      <c r="B121" s="13" t="s">
        <v>18</v>
      </c>
      <c r="C121" s="59">
        <f>SUM(C92,C97,C99,C109,C118,C111,C113,C115,C117,C112,C114,C116,C107)</f>
        <v>434127</v>
      </c>
      <c r="D121" s="59">
        <f>SUM(D92,D97,D99,D109,D118,D111,D113,D115,D117,D112,D114,D116,D107)</f>
        <v>2776440</v>
      </c>
      <c r="E121" s="59">
        <f>SUM(E92,E97,E99,E109,E118,E111,E113,E115,E117,E112,E114,E116,E107)</f>
        <v>2036065</v>
      </c>
      <c r="F121" s="59">
        <f>SUM(F92,F97,F99,F109,F118,F111,F113,F115,F117,F112,F114,F116,F107)</f>
        <v>2483586.5</v>
      </c>
      <c r="G121" s="46">
        <f t="shared" si="5"/>
        <v>121.97972559815133</v>
      </c>
      <c r="H121" s="46">
        <f t="shared" si="16"/>
        <v>89.45219417671551</v>
      </c>
      <c r="I121" s="30">
        <f aca="true" t="shared" si="26" ref="I121:I174">F121-E121</f>
        <v>447521.5</v>
      </c>
      <c r="J121" s="30">
        <f t="shared" si="23"/>
        <v>-292853.5</v>
      </c>
      <c r="K121" s="90">
        <f>SUM(K111:K117)+K120</f>
        <v>6395657.7</v>
      </c>
      <c r="L121" s="77">
        <f t="shared" si="19"/>
        <v>-3912071.2</v>
      </c>
      <c r="M121" s="88">
        <f t="shared" si="20"/>
        <v>38.83238622980089</v>
      </c>
    </row>
    <row r="122" spans="1:13" s="32" customFormat="1" ht="18" customHeight="1">
      <c r="A122" s="33"/>
      <c r="B122" s="13" t="s">
        <v>17</v>
      </c>
      <c r="C122" s="59">
        <f>C90+C121</f>
        <v>71521877</v>
      </c>
      <c r="D122" s="59">
        <f>D90+D121</f>
        <v>75525122</v>
      </c>
      <c r="E122" s="59">
        <f>E90+E121</f>
        <v>45582640</v>
      </c>
      <c r="F122" s="59">
        <f>F90+F121</f>
        <v>45400933.730000004</v>
      </c>
      <c r="G122" s="46">
        <f t="shared" si="5"/>
        <v>99.60136957841846</v>
      </c>
      <c r="H122" s="46">
        <f t="shared" si="16"/>
        <v>60.11368472863904</v>
      </c>
      <c r="I122" s="30">
        <f t="shared" si="26"/>
        <v>-181706.26999999583</v>
      </c>
      <c r="J122" s="30">
        <f t="shared" si="23"/>
        <v>-30124188.269999996</v>
      </c>
      <c r="K122" s="108">
        <f>K90+K121</f>
        <v>52968000.60000001</v>
      </c>
      <c r="L122" s="77">
        <f t="shared" si="19"/>
        <v>-7567066.870000005</v>
      </c>
      <c r="M122" s="88">
        <f t="shared" si="20"/>
        <v>85.71388992545812</v>
      </c>
    </row>
    <row r="123" spans="1:13" s="27" customFormat="1" ht="21.75" customHeight="1">
      <c r="A123" s="82"/>
      <c r="B123" s="13" t="s">
        <v>5</v>
      </c>
      <c r="C123" s="98"/>
      <c r="D123" s="98"/>
      <c r="E123" s="98"/>
      <c r="F123" s="98"/>
      <c r="G123" s="83">
        <f t="shared" si="5"/>
        <v>0</v>
      </c>
      <c r="H123" s="83">
        <f t="shared" si="16"/>
        <v>0</v>
      </c>
      <c r="I123" s="84">
        <f t="shared" si="26"/>
        <v>0</v>
      </c>
      <c r="J123" s="84">
        <f t="shared" si="23"/>
        <v>0</v>
      </c>
      <c r="K123" s="109"/>
      <c r="L123" s="85">
        <f t="shared" si="19"/>
        <v>0</v>
      </c>
      <c r="M123" s="86">
        <f t="shared" si="20"/>
        <v>0</v>
      </c>
    </row>
    <row r="124" spans="1:13" s="10" customFormat="1" ht="19.5" customHeight="1">
      <c r="A124" s="12"/>
      <c r="B124" s="14" t="s">
        <v>2</v>
      </c>
      <c r="C124" s="98"/>
      <c r="D124" s="98"/>
      <c r="E124" s="98"/>
      <c r="F124" s="98"/>
      <c r="G124" s="7">
        <f t="shared" si="5"/>
        <v>0</v>
      </c>
      <c r="H124" s="7">
        <f t="shared" si="16"/>
        <v>0</v>
      </c>
      <c r="I124" s="8">
        <f t="shared" si="26"/>
        <v>0</v>
      </c>
      <c r="J124" s="8">
        <f t="shared" si="23"/>
        <v>0</v>
      </c>
      <c r="K124" s="110"/>
      <c r="L124" s="55">
        <f t="shared" si="19"/>
        <v>0</v>
      </c>
      <c r="M124" s="58">
        <f t="shared" si="20"/>
        <v>0</v>
      </c>
    </row>
    <row r="125" spans="1:13" s="32" customFormat="1" ht="18" customHeight="1">
      <c r="A125" s="37" t="s">
        <v>64</v>
      </c>
      <c r="B125" s="16" t="s">
        <v>6</v>
      </c>
      <c r="C125" s="97">
        <f>C126</f>
        <v>16000000</v>
      </c>
      <c r="D125" s="97">
        <f>D126</f>
        <v>15389100</v>
      </c>
      <c r="E125" s="97">
        <f>E126</f>
        <v>9580534</v>
      </c>
      <c r="F125" s="97">
        <f>F126</f>
        <v>9029026.68</v>
      </c>
      <c r="G125" s="46">
        <f t="shared" si="5"/>
        <v>94.24345949818664</v>
      </c>
      <c r="H125" s="46">
        <f t="shared" si="16"/>
        <v>58.67157065715344</v>
      </c>
      <c r="I125" s="30">
        <f t="shared" si="26"/>
        <v>-551507.3200000003</v>
      </c>
      <c r="J125" s="30">
        <f t="shared" si="23"/>
        <v>-6360073.32</v>
      </c>
      <c r="K125" s="118">
        <f>K126</f>
        <v>8796264.84</v>
      </c>
      <c r="L125" s="119">
        <f t="shared" si="19"/>
        <v>232761.83999999985</v>
      </c>
      <c r="M125" s="120">
        <f t="shared" si="20"/>
        <v>102.64614406493928</v>
      </c>
    </row>
    <row r="126" spans="1:13" s="10" customFormat="1" ht="65.25" customHeight="1">
      <c r="A126" s="38" t="s">
        <v>121</v>
      </c>
      <c r="B126" s="17" t="s">
        <v>122</v>
      </c>
      <c r="C126" s="98">
        <v>16000000</v>
      </c>
      <c r="D126" s="98">
        <v>15389100</v>
      </c>
      <c r="E126" s="98">
        <v>9580534</v>
      </c>
      <c r="F126" s="98">
        <v>9029026.68</v>
      </c>
      <c r="G126" s="7">
        <f t="shared" si="5"/>
        <v>94.24345949818664</v>
      </c>
      <c r="H126" s="7">
        <f t="shared" si="16"/>
        <v>58.67157065715344</v>
      </c>
      <c r="I126" s="8">
        <f t="shared" si="26"/>
        <v>-551507.3200000003</v>
      </c>
      <c r="J126" s="8">
        <f t="shared" si="23"/>
        <v>-6360073.32</v>
      </c>
      <c r="K126" s="110">
        <v>8796264.84</v>
      </c>
      <c r="L126" s="55">
        <f t="shared" si="19"/>
        <v>232761.83999999985</v>
      </c>
      <c r="M126" s="58">
        <f t="shared" si="20"/>
        <v>102.64614406493928</v>
      </c>
    </row>
    <row r="127" spans="1:13" s="32" customFormat="1" ht="18.75" customHeight="1">
      <c r="A127" s="37" t="s">
        <v>65</v>
      </c>
      <c r="B127" s="16" t="s">
        <v>7</v>
      </c>
      <c r="C127" s="97">
        <f>C129+C130+C131+C132+C133+C134+C128+C135</f>
        <v>34249792</v>
      </c>
      <c r="D127" s="97">
        <f>D129+D130+D131+D132+D133+D134+D128+D135</f>
        <v>35163417</v>
      </c>
      <c r="E127" s="97">
        <f>E129+E130+E131+E132+E133+E134+E128+E135</f>
        <v>21889698</v>
      </c>
      <c r="F127" s="97">
        <f>F129+F130+F131+F132+F133+F134+F128+F135</f>
        <v>17922172.240000002</v>
      </c>
      <c r="G127" s="46">
        <f t="shared" si="5"/>
        <v>81.87491778095797</v>
      </c>
      <c r="H127" s="46">
        <f t="shared" si="16"/>
        <v>50.96823280854646</v>
      </c>
      <c r="I127" s="30">
        <f t="shared" si="26"/>
        <v>-3967525.759999998</v>
      </c>
      <c r="J127" s="30">
        <f t="shared" si="23"/>
        <v>-17241244.759999998</v>
      </c>
      <c r="K127" s="118">
        <f>K128+K129+K130+K131+K132+K133+K134+K135</f>
        <v>17222283.67</v>
      </c>
      <c r="L127" s="119">
        <f t="shared" si="19"/>
        <v>699888.5700000003</v>
      </c>
      <c r="M127" s="120">
        <f t="shared" si="20"/>
        <v>104.06385461655793</v>
      </c>
    </row>
    <row r="128" spans="1:13" s="10" customFormat="1" ht="18.75" customHeight="1">
      <c r="A128" s="38" t="s">
        <v>123</v>
      </c>
      <c r="B128" s="18" t="s">
        <v>124</v>
      </c>
      <c r="C128" s="98">
        <v>1392750</v>
      </c>
      <c r="D128" s="123">
        <v>1338857</v>
      </c>
      <c r="E128" s="123">
        <v>796727</v>
      </c>
      <c r="F128" s="123">
        <v>726933.34</v>
      </c>
      <c r="G128" s="7">
        <f t="shared" si="5"/>
        <v>91.23995295753751</v>
      </c>
      <c r="H128" s="7">
        <f t="shared" si="16"/>
        <v>54.29506960041289</v>
      </c>
      <c r="I128" s="8">
        <f t="shared" si="26"/>
        <v>-69793.66000000003</v>
      </c>
      <c r="J128" s="8">
        <f t="shared" si="23"/>
        <v>-611923.66</v>
      </c>
      <c r="K128" s="110">
        <v>822339.04</v>
      </c>
      <c r="L128" s="55">
        <f t="shared" si="19"/>
        <v>-95405.70000000007</v>
      </c>
      <c r="M128" s="58">
        <f t="shared" si="20"/>
        <v>88.39825238018615</v>
      </c>
    </row>
    <row r="129" spans="1:13" s="10" customFormat="1" ht="65.25" customHeight="1">
      <c r="A129" s="92" t="s">
        <v>66</v>
      </c>
      <c r="B129" s="93" t="s">
        <v>253</v>
      </c>
      <c r="C129" s="98">
        <v>29174215</v>
      </c>
      <c r="D129" s="123">
        <v>29955434</v>
      </c>
      <c r="E129" s="123">
        <v>18638556</v>
      </c>
      <c r="F129" s="123">
        <v>15058179.19</v>
      </c>
      <c r="G129" s="7">
        <f t="shared" si="5"/>
        <v>80.79048178410387</v>
      </c>
      <c r="H129" s="7">
        <f t="shared" si="16"/>
        <v>50.26860632364732</v>
      </c>
      <c r="I129" s="8">
        <f t="shared" si="26"/>
        <v>-3580376.8100000005</v>
      </c>
      <c r="J129" s="8">
        <f t="shared" si="23"/>
        <v>-14897254.81</v>
      </c>
      <c r="K129" s="110">
        <v>14314497.1</v>
      </c>
      <c r="L129" s="55">
        <f t="shared" si="19"/>
        <v>743682.0899999999</v>
      </c>
      <c r="M129" s="58">
        <f t="shared" si="20"/>
        <v>105.19530714075871</v>
      </c>
    </row>
    <row r="130" spans="1:13" s="10" customFormat="1" ht="49.5" customHeight="1">
      <c r="A130" s="38" t="s">
        <v>67</v>
      </c>
      <c r="B130" s="39" t="s">
        <v>63</v>
      </c>
      <c r="C130" s="98">
        <v>270200</v>
      </c>
      <c r="D130" s="123">
        <v>270600</v>
      </c>
      <c r="E130" s="123">
        <v>155845</v>
      </c>
      <c r="F130" s="123">
        <v>153430.91</v>
      </c>
      <c r="G130" s="7">
        <f t="shared" si="5"/>
        <v>98.45096730726041</v>
      </c>
      <c r="H130" s="7">
        <f aca="true" t="shared" si="27" ref="H130:H147">IF(D130=0,0,F130/D130%)</f>
        <v>56.70026237989653</v>
      </c>
      <c r="I130" s="8">
        <f t="shared" si="26"/>
        <v>-2414.0899999999965</v>
      </c>
      <c r="J130" s="8">
        <f t="shared" si="23"/>
        <v>-117169.09</v>
      </c>
      <c r="K130" s="110">
        <v>154685.83</v>
      </c>
      <c r="L130" s="55">
        <f t="shared" si="19"/>
        <v>-1254.9199999999837</v>
      </c>
      <c r="M130" s="58">
        <f t="shared" si="20"/>
        <v>99.18872982741858</v>
      </c>
    </row>
    <row r="131" spans="1:13" s="10" customFormat="1" ht="55.5" customHeight="1">
      <c r="A131" s="38" t="s">
        <v>125</v>
      </c>
      <c r="B131" s="39" t="s">
        <v>252</v>
      </c>
      <c r="C131" s="98">
        <v>646000</v>
      </c>
      <c r="D131" s="123">
        <v>646000</v>
      </c>
      <c r="E131" s="123">
        <v>402830</v>
      </c>
      <c r="F131" s="123">
        <v>370140.51</v>
      </c>
      <c r="G131" s="7">
        <f t="shared" si="5"/>
        <v>91.8850408360847</v>
      </c>
      <c r="H131" s="7">
        <f t="shared" si="27"/>
        <v>57.29729256965945</v>
      </c>
      <c r="I131" s="8">
        <f t="shared" si="26"/>
        <v>-32689.48999999999</v>
      </c>
      <c r="J131" s="8">
        <f t="shared" si="23"/>
        <v>-275859.49</v>
      </c>
      <c r="K131" s="110">
        <v>365006.31</v>
      </c>
      <c r="L131" s="55">
        <f t="shared" si="19"/>
        <v>5134.200000000012</v>
      </c>
      <c r="M131" s="58">
        <f t="shared" si="20"/>
        <v>101.40660582004732</v>
      </c>
    </row>
    <row r="132" spans="1:13" s="10" customFormat="1" ht="21" customHeight="1">
      <c r="A132" s="38" t="s">
        <v>127</v>
      </c>
      <c r="B132" s="39" t="s">
        <v>254</v>
      </c>
      <c r="C132" s="98">
        <v>513300</v>
      </c>
      <c r="D132" s="123">
        <v>514100</v>
      </c>
      <c r="E132" s="123">
        <v>307750</v>
      </c>
      <c r="F132" s="123">
        <v>294450.84</v>
      </c>
      <c r="G132" s="7">
        <f t="shared" si="5"/>
        <v>95.6785832656377</v>
      </c>
      <c r="H132" s="7">
        <f t="shared" si="27"/>
        <v>57.27501264345459</v>
      </c>
      <c r="I132" s="8">
        <f t="shared" si="26"/>
        <v>-13299.159999999974</v>
      </c>
      <c r="J132" s="8">
        <f t="shared" si="23"/>
        <v>-219649.15999999997</v>
      </c>
      <c r="K132" s="128">
        <v>290225.08</v>
      </c>
      <c r="L132" s="55">
        <f t="shared" si="19"/>
        <v>4225.760000000009</v>
      </c>
      <c r="M132" s="58">
        <f t="shared" si="20"/>
        <v>101.45602854170977</v>
      </c>
    </row>
    <row r="133" spans="1:13" s="10" customFormat="1" ht="18.75" customHeight="1">
      <c r="A133" s="38" t="s">
        <v>128</v>
      </c>
      <c r="B133" s="76" t="s">
        <v>129</v>
      </c>
      <c r="C133" s="98">
        <v>2117200</v>
      </c>
      <c r="D133" s="123">
        <v>1969234</v>
      </c>
      <c r="E133" s="123">
        <v>1208224</v>
      </c>
      <c r="F133" s="123">
        <v>1119640.76</v>
      </c>
      <c r="G133" s="7">
        <f t="shared" si="5"/>
        <v>92.66830984982917</v>
      </c>
      <c r="H133" s="7">
        <f t="shared" si="27"/>
        <v>56.85666406328552</v>
      </c>
      <c r="I133" s="8">
        <f t="shared" si="26"/>
        <v>-88583.23999999999</v>
      </c>
      <c r="J133" s="8">
        <f t="shared" si="23"/>
        <v>-849593.24</v>
      </c>
      <c r="K133" s="128">
        <v>1131872.28</v>
      </c>
      <c r="L133" s="55">
        <f t="shared" si="19"/>
        <v>-12231.520000000019</v>
      </c>
      <c r="M133" s="58">
        <f t="shared" si="20"/>
        <v>98.91935510603723</v>
      </c>
    </row>
    <row r="134" spans="1:13" s="10" customFormat="1" ht="18.75" customHeight="1">
      <c r="A134" s="38" t="s">
        <v>130</v>
      </c>
      <c r="B134" s="39" t="s">
        <v>131</v>
      </c>
      <c r="C134" s="98">
        <v>3620</v>
      </c>
      <c r="D134" s="123">
        <v>3620</v>
      </c>
      <c r="E134" s="123">
        <v>3620</v>
      </c>
      <c r="F134" s="123">
        <v>3620</v>
      </c>
      <c r="G134" s="7">
        <f t="shared" si="5"/>
        <v>99.99999999999999</v>
      </c>
      <c r="H134" s="7">
        <f t="shared" si="27"/>
        <v>99.99999999999999</v>
      </c>
      <c r="I134" s="8">
        <f>F134-E134</f>
        <v>0</v>
      </c>
      <c r="J134" s="8">
        <f t="shared" si="23"/>
        <v>0</v>
      </c>
      <c r="K134" s="128">
        <v>3620</v>
      </c>
      <c r="L134" s="55">
        <f t="shared" si="19"/>
        <v>0</v>
      </c>
      <c r="M134" s="58">
        <f t="shared" si="20"/>
        <v>100</v>
      </c>
    </row>
    <row r="135" spans="1:13" s="10" customFormat="1" ht="18.75" customHeight="1">
      <c r="A135" s="38" t="s">
        <v>226</v>
      </c>
      <c r="B135" s="39" t="s">
        <v>227</v>
      </c>
      <c r="C135" s="98">
        <v>132507</v>
      </c>
      <c r="D135" s="123">
        <v>465572</v>
      </c>
      <c r="E135" s="123">
        <v>376146</v>
      </c>
      <c r="F135" s="123">
        <v>195776.69</v>
      </c>
      <c r="G135" s="7">
        <f t="shared" si="5"/>
        <v>52.04805846665922</v>
      </c>
      <c r="H135" s="7">
        <f t="shared" si="27"/>
        <v>42.050786988908264</v>
      </c>
      <c r="I135" s="8">
        <f>F135-E135</f>
        <v>-180369.31</v>
      </c>
      <c r="J135" s="8">
        <f t="shared" si="23"/>
        <v>-269795.31</v>
      </c>
      <c r="K135" s="128">
        <v>140038.03</v>
      </c>
      <c r="L135" s="55">
        <f>F135-K135</f>
        <v>55738.66</v>
      </c>
      <c r="M135" s="58">
        <f t="shared" si="20"/>
        <v>139.80251650212446</v>
      </c>
    </row>
    <row r="136" spans="1:13" s="32" customFormat="1" ht="18.75" customHeight="1">
      <c r="A136" s="37" t="s">
        <v>68</v>
      </c>
      <c r="B136" s="16" t="s">
        <v>8</v>
      </c>
      <c r="C136" s="97">
        <f>C137+C138+C139+C140+C141+C142</f>
        <v>1833400</v>
      </c>
      <c r="D136" s="97">
        <f>D137+D138+D139+D140+D141+D142</f>
        <v>2645849</v>
      </c>
      <c r="E136" s="97">
        <f>E137+E138+E139+E140+E141+E142</f>
        <v>2346869</v>
      </c>
      <c r="F136" s="97">
        <f>F137+F138+F139+F140+F141+F142</f>
        <v>2051674.1300000001</v>
      </c>
      <c r="G136" s="46">
        <f t="shared" si="5"/>
        <v>87.42175766947368</v>
      </c>
      <c r="H136" s="46">
        <f t="shared" si="27"/>
        <v>77.54313001233253</v>
      </c>
      <c r="I136" s="30">
        <f t="shared" si="26"/>
        <v>-295194.8699999999</v>
      </c>
      <c r="J136" s="30">
        <f t="shared" si="23"/>
        <v>-594174.8699999999</v>
      </c>
      <c r="K136" s="118">
        <f>K137+K140+K141+K142</f>
        <v>3337047.0700000003</v>
      </c>
      <c r="L136" s="119">
        <f t="shared" si="19"/>
        <v>-1285372.9400000002</v>
      </c>
      <c r="M136" s="120">
        <f t="shared" si="20"/>
        <v>61.481725818149755</v>
      </c>
    </row>
    <row r="137" spans="1:13" s="10" customFormat="1" ht="18.75" customHeight="1">
      <c r="A137" s="38" t="s">
        <v>69</v>
      </c>
      <c r="B137" s="17" t="s">
        <v>70</v>
      </c>
      <c r="C137" s="98">
        <v>1481300</v>
      </c>
      <c r="D137" s="98">
        <v>1985085</v>
      </c>
      <c r="E137" s="98">
        <v>1798095</v>
      </c>
      <c r="F137" s="98">
        <v>1621850.61</v>
      </c>
      <c r="G137" s="7">
        <f t="shared" si="5"/>
        <v>90.19827150400842</v>
      </c>
      <c r="H137" s="7">
        <f t="shared" si="27"/>
        <v>81.70182183634455</v>
      </c>
      <c r="I137" s="8">
        <f t="shared" si="26"/>
        <v>-176244.3899999999</v>
      </c>
      <c r="J137" s="8">
        <f t="shared" si="23"/>
        <v>-363234.3899999999</v>
      </c>
      <c r="K137" s="110">
        <v>2937176.49</v>
      </c>
      <c r="L137" s="55">
        <f t="shared" si="19"/>
        <v>-1315325.8800000001</v>
      </c>
      <c r="M137" s="58">
        <f t="shared" si="20"/>
        <v>55.218016878515876</v>
      </c>
    </row>
    <row r="138" spans="1:13" s="10" customFormat="1" ht="30" customHeight="1" hidden="1">
      <c r="A138" s="38" t="s">
        <v>46</v>
      </c>
      <c r="B138" s="17" t="s">
        <v>48</v>
      </c>
      <c r="C138" s="98"/>
      <c r="D138" s="98"/>
      <c r="E138" s="98"/>
      <c r="F138" s="98"/>
      <c r="G138" s="7">
        <f t="shared" si="5"/>
        <v>0</v>
      </c>
      <c r="H138" s="7">
        <f t="shared" si="27"/>
        <v>0</v>
      </c>
      <c r="I138" s="8">
        <f t="shared" si="26"/>
        <v>0</v>
      </c>
      <c r="J138" s="8">
        <f t="shared" si="23"/>
        <v>0</v>
      </c>
      <c r="K138" s="110"/>
      <c r="L138" s="55">
        <f t="shared" si="19"/>
        <v>0</v>
      </c>
      <c r="M138" s="58">
        <f t="shared" si="20"/>
        <v>0</v>
      </c>
    </row>
    <row r="139" spans="1:13" s="10" customFormat="1" ht="18" customHeight="1" hidden="1">
      <c r="A139" s="38" t="s">
        <v>47</v>
      </c>
      <c r="B139" s="17" t="s">
        <v>49</v>
      </c>
      <c r="C139" s="98"/>
      <c r="D139" s="98"/>
      <c r="E139" s="98"/>
      <c r="F139" s="98"/>
      <c r="G139" s="7">
        <f t="shared" si="5"/>
        <v>0</v>
      </c>
      <c r="H139" s="7">
        <f t="shared" si="27"/>
        <v>0</v>
      </c>
      <c r="I139" s="8">
        <f t="shared" si="26"/>
        <v>0</v>
      </c>
      <c r="J139" s="8">
        <f t="shared" si="23"/>
        <v>0</v>
      </c>
      <c r="K139" s="110"/>
      <c r="L139" s="55">
        <f t="shared" si="19"/>
        <v>0</v>
      </c>
      <c r="M139" s="58">
        <f t="shared" si="20"/>
        <v>0</v>
      </c>
    </row>
    <row r="140" spans="1:13" s="10" customFormat="1" ht="36" customHeight="1">
      <c r="A140" s="38" t="s">
        <v>132</v>
      </c>
      <c r="B140" s="17" t="s">
        <v>133</v>
      </c>
      <c r="C140" s="98">
        <v>318000</v>
      </c>
      <c r="D140" s="98">
        <v>528434</v>
      </c>
      <c r="E140" s="98">
        <v>432814</v>
      </c>
      <c r="F140" s="98">
        <v>361904.72</v>
      </c>
      <c r="G140" s="7">
        <f aca="true" t="shared" si="28" ref="G140:G173">IF(E140=0,0,F140/E140%)</f>
        <v>83.61668522737249</v>
      </c>
      <c r="H140" s="7">
        <f t="shared" si="27"/>
        <v>68.48626696995272</v>
      </c>
      <c r="I140" s="8">
        <f t="shared" si="26"/>
        <v>-70909.28000000003</v>
      </c>
      <c r="J140" s="8">
        <f t="shared" si="23"/>
        <v>-166529.28000000003</v>
      </c>
      <c r="K140" s="128">
        <v>270976.08</v>
      </c>
      <c r="L140" s="55">
        <f t="shared" si="19"/>
        <v>90928.63999999996</v>
      </c>
      <c r="M140" s="58">
        <f t="shared" si="20"/>
        <v>133.55596553024162</v>
      </c>
    </row>
    <row r="141" spans="1:13" s="101" customFormat="1" ht="34.5" customHeight="1">
      <c r="A141" s="92" t="s">
        <v>134</v>
      </c>
      <c r="B141" s="121" t="s">
        <v>135</v>
      </c>
      <c r="C141" s="98">
        <v>34100</v>
      </c>
      <c r="D141" s="123">
        <v>132330</v>
      </c>
      <c r="E141" s="123">
        <v>115960</v>
      </c>
      <c r="F141" s="123">
        <v>67918.8</v>
      </c>
      <c r="G141" s="63">
        <f t="shared" si="28"/>
        <v>58.570886512590555</v>
      </c>
      <c r="H141" s="63">
        <f t="shared" si="27"/>
        <v>51.32532305599638</v>
      </c>
      <c r="I141" s="60">
        <f t="shared" si="26"/>
        <v>-48041.2</v>
      </c>
      <c r="J141" s="60">
        <f t="shared" si="23"/>
        <v>-64411.2</v>
      </c>
      <c r="K141" s="128">
        <v>90299</v>
      </c>
      <c r="L141" s="110">
        <f t="shared" si="19"/>
        <v>-22380.199999999997</v>
      </c>
      <c r="M141" s="122">
        <f t="shared" si="20"/>
        <v>75.21545089092902</v>
      </c>
    </row>
    <row r="142" spans="1:13" s="10" customFormat="1" ht="36" customHeight="1">
      <c r="A142" s="38" t="s">
        <v>136</v>
      </c>
      <c r="B142" s="17" t="s">
        <v>137</v>
      </c>
      <c r="C142" s="98"/>
      <c r="D142" s="98"/>
      <c r="E142" s="98"/>
      <c r="F142" s="98"/>
      <c r="G142" s="7">
        <f t="shared" si="28"/>
        <v>0</v>
      </c>
      <c r="H142" s="7">
        <f t="shared" si="27"/>
        <v>0</v>
      </c>
      <c r="I142" s="8">
        <f t="shared" si="26"/>
        <v>0</v>
      </c>
      <c r="J142" s="8">
        <f t="shared" si="23"/>
        <v>0</v>
      </c>
      <c r="K142" s="128">
        <v>38595.5</v>
      </c>
      <c r="L142" s="55">
        <f t="shared" si="19"/>
        <v>-38595.5</v>
      </c>
      <c r="M142" s="58">
        <f t="shared" si="20"/>
        <v>0</v>
      </c>
    </row>
    <row r="143" spans="1:13" s="32" customFormat="1" ht="22.5" customHeight="1">
      <c r="A143" s="37" t="s">
        <v>71</v>
      </c>
      <c r="B143" s="16" t="s">
        <v>9</v>
      </c>
      <c r="C143" s="97">
        <f>C145+C146+C147+C144</f>
        <v>3041388</v>
      </c>
      <c r="D143" s="97">
        <f>D145+D146+D147+D144</f>
        <v>2913088</v>
      </c>
      <c r="E143" s="97">
        <f>E145+E146+E147+E144</f>
        <v>1887730</v>
      </c>
      <c r="F143" s="97">
        <f>F145+F146+F147+F144</f>
        <v>1724229.44</v>
      </c>
      <c r="G143" s="46">
        <f t="shared" si="28"/>
        <v>91.33877408315809</v>
      </c>
      <c r="H143" s="46">
        <f t="shared" si="27"/>
        <v>59.189061229870156</v>
      </c>
      <c r="I143" s="30">
        <f t="shared" si="26"/>
        <v>-163500.56000000006</v>
      </c>
      <c r="J143" s="30">
        <f t="shared" si="23"/>
        <v>-1188858.56</v>
      </c>
      <c r="K143" s="118">
        <f>K144+K145+K146+K147</f>
        <v>1708814.19</v>
      </c>
      <c r="L143" s="119">
        <f t="shared" si="19"/>
        <v>15415.25</v>
      </c>
      <c r="M143" s="120">
        <f t="shared" si="20"/>
        <v>100.90210217648064</v>
      </c>
    </row>
    <row r="144" spans="1:13" s="10" customFormat="1" ht="68.25" customHeight="1">
      <c r="A144" s="38" t="s">
        <v>194</v>
      </c>
      <c r="B144" s="18" t="s">
        <v>195</v>
      </c>
      <c r="C144" s="98">
        <v>130000</v>
      </c>
      <c r="D144" s="98"/>
      <c r="E144" s="98"/>
      <c r="F144" s="98"/>
      <c r="G144" s="7">
        <f t="shared" si="28"/>
        <v>0</v>
      </c>
      <c r="H144" s="7">
        <f t="shared" si="27"/>
        <v>0</v>
      </c>
      <c r="I144" s="8">
        <f t="shared" si="26"/>
        <v>0</v>
      </c>
      <c r="J144" s="8">
        <f t="shared" si="23"/>
        <v>0</v>
      </c>
      <c r="K144" s="128">
        <v>126000</v>
      </c>
      <c r="L144" s="55">
        <f t="shared" si="19"/>
        <v>-126000</v>
      </c>
      <c r="M144" s="58">
        <f t="shared" si="20"/>
        <v>0</v>
      </c>
    </row>
    <row r="145" spans="1:13" s="10" customFormat="1" ht="23.25" customHeight="1">
      <c r="A145" s="38" t="s">
        <v>138</v>
      </c>
      <c r="B145" s="17" t="s">
        <v>139</v>
      </c>
      <c r="C145" s="98">
        <v>200000</v>
      </c>
      <c r="D145" s="98">
        <v>175600</v>
      </c>
      <c r="E145" s="98">
        <v>72370</v>
      </c>
      <c r="F145" s="98">
        <v>47968.42</v>
      </c>
      <c r="G145" s="7">
        <f t="shared" si="28"/>
        <v>66.2821887522454</v>
      </c>
      <c r="H145" s="7">
        <f t="shared" si="27"/>
        <v>27.316867881548973</v>
      </c>
      <c r="I145" s="8">
        <f t="shared" si="26"/>
        <v>-24401.58</v>
      </c>
      <c r="J145" s="8">
        <f t="shared" si="23"/>
        <v>-127631.58</v>
      </c>
      <c r="K145" s="128">
        <v>90613.34</v>
      </c>
      <c r="L145" s="55">
        <f t="shared" si="19"/>
        <v>-42644.92</v>
      </c>
      <c r="M145" s="58">
        <f t="shared" si="20"/>
        <v>52.93748139070914</v>
      </c>
    </row>
    <row r="146" spans="1:13" s="10" customFormat="1" ht="39.75" customHeight="1">
      <c r="A146" s="38" t="s">
        <v>140</v>
      </c>
      <c r="B146" s="17" t="s">
        <v>141</v>
      </c>
      <c r="C146" s="98">
        <v>2083000</v>
      </c>
      <c r="D146" s="98">
        <v>2159100</v>
      </c>
      <c r="E146" s="98">
        <v>1462900</v>
      </c>
      <c r="F146" s="98">
        <v>1370005.98</v>
      </c>
      <c r="G146" s="7">
        <f t="shared" si="28"/>
        <v>93.65000888645841</v>
      </c>
      <c r="H146" s="7">
        <f t="shared" si="27"/>
        <v>63.45264137835209</v>
      </c>
      <c r="I146" s="8">
        <f t="shared" si="26"/>
        <v>-92894.02000000002</v>
      </c>
      <c r="J146" s="8">
        <f t="shared" si="23"/>
        <v>-789094.02</v>
      </c>
      <c r="K146" s="128">
        <v>1158433.41</v>
      </c>
      <c r="L146" s="55">
        <f t="shared" si="19"/>
        <v>211572.57000000007</v>
      </c>
      <c r="M146" s="58">
        <f t="shared" si="20"/>
        <v>118.26367991233954</v>
      </c>
    </row>
    <row r="147" spans="1:13" s="10" customFormat="1" ht="31.5" customHeight="1">
      <c r="A147" s="38" t="s">
        <v>142</v>
      </c>
      <c r="B147" s="17" t="s">
        <v>143</v>
      </c>
      <c r="C147" s="98">
        <v>628388</v>
      </c>
      <c r="D147" s="98">
        <v>578388</v>
      </c>
      <c r="E147" s="98">
        <v>352460</v>
      </c>
      <c r="F147" s="98">
        <v>306255.04</v>
      </c>
      <c r="G147" s="7">
        <f t="shared" si="28"/>
        <v>86.8907223514725</v>
      </c>
      <c r="H147" s="7">
        <f t="shared" si="27"/>
        <v>52.94975691058597</v>
      </c>
      <c r="I147" s="8">
        <f t="shared" si="26"/>
        <v>-46204.96000000002</v>
      </c>
      <c r="J147" s="8">
        <f t="shared" si="23"/>
        <v>-272132.96</v>
      </c>
      <c r="K147" s="128">
        <v>333767.44</v>
      </c>
      <c r="L147" s="55">
        <f t="shared" si="19"/>
        <v>-27512.400000000023</v>
      </c>
      <c r="M147" s="58">
        <f t="shared" si="20"/>
        <v>91.7570150042197</v>
      </c>
    </row>
    <row r="148" spans="1:13" s="10" customFormat="1" ht="22.5" customHeight="1" hidden="1">
      <c r="A148" s="38"/>
      <c r="B148" s="18"/>
      <c r="C148" s="98"/>
      <c r="D148" s="98"/>
      <c r="E148" s="98"/>
      <c r="F148" s="98"/>
      <c r="G148" s="7">
        <f t="shared" si="28"/>
        <v>0</v>
      </c>
      <c r="H148" s="7">
        <f aca="true" t="shared" si="29" ref="H148:H159">IF(D148=0,0,F148/D148%)</f>
        <v>0</v>
      </c>
      <c r="I148" s="8">
        <f t="shared" si="26"/>
        <v>0</v>
      </c>
      <c r="J148" s="8">
        <f>F148-D148</f>
        <v>0</v>
      </c>
      <c r="K148" s="110"/>
      <c r="L148" s="55">
        <f t="shared" si="19"/>
        <v>0</v>
      </c>
      <c r="M148" s="58">
        <f t="shared" si="20"/>
        <v>0</v>
      </c>
    </row>
    <row r="149" spans="1:13" s="32" customFormat="1" ht="20.25" customHeight="1">
      <c r="A149" s="37" t="s">
        <v>72</v>
      </c>
      <c r="B149" s="16" t="s">
        <v>10</v>
      </c>
      <c r="C149" s="97">
        <f>C150+C151+C152+C153</f>
        <v>3170650</v>
      </c>
      <c r="D149" s="97">
        <f>D150+D151+D152+D153</f>
        <v>3228088</v>
      </c>
      <c r="E149" s="97">
        <f>E150+E151+E152+E153</f>
        <v>1928168</v>
      </c>
      <c r="F149" s="97">
        <f>F150+F151+F152+F153</f>
        <v>1699319.04</v>
      </c>
      <c r="G149" s="46">
        <f t="shared" si="28"/>
        <v>88.13127486816502</v>
      </c>
      <c r="H149" s="46">
        <f t="shared" si="29"/>
        <v>52.641657848237095</v>
      </c>
      <c r="I149" s="30">
        <f t="shared" si="26"/>
        <v>-228848.95999999996</v>
      </c>
      <c r="J149" s="30">
        <f>F149-D149</f>
        <v>-1528768.96</v>
      </c>
      <c r="K149" s="118">
        <f>K150+K151+K153</f>
        <v>1495289.78</v>
      </c>
      <c r="L149" s="119">
        <f t="shared" si="19"/>
        <v>204029.26</v>
      </c>
      <c r="M149" s="120">
        <f t="shared" si="20"/>
        <v>113.6447973315246</v>
      </c>
    </row>
    <row r="150" spans="1:13" s="10" customFormat="1" ht="20.25" customHeight="1">
      <c r="A150" s="38" t="s">
        <v>73</v>
      </c>
      <c r="B150" s="17" t="s">
        <v>144</v>
      </c>
      <c r="C150" s="98">
        <v>1129000</v>
      </c>
      <c r="D150" s="98">
        <v>1129000</v>
      </c>
      <c r="E150" s="98">
        <v>713340</v>
      </c>
      <c r="F150" s="98">
        <v>664435.6</v>
      </c>
      <c r="G150" s="7">
        <f t="shared" si="28"/>
        <v>93.14430706255082</v>
      </c>
      <c r="H150" s="7">
        <f t="shared" si="29"/>
        <v>58.85169176262179</v>
      </c>
      <c r="I150" s="8">
        <f>F150-E150</f>
        <v>-48904.40000000002</v>
      </c>
      <c r="J150" s="8">
        <f>F150-D150</f>
        <v>-464564.4</v>
      </c>
      <c r="K150" s="128">
        <v>616554.91</v>
      </c>
      <c r="L150" s="55">
        <f t="shared" si="19"/>
        <v>47880.689999999944</v>
      </c>
      <c r="M150" s="58">
        <f t="shared" si="20"/>
        <v>107.76584359696363</v>
      </c>
    </row>
    <row r="151" spans="1:13" s="10" customFormat="1" ht="39" customHeight="1">
      <c r="A151" s="38" t="s">
        <v>74</v>
      </c>
      <c r="B151" s="17" t="s">
        <v>145</v>
      </c>
      <c r="C151" s="98">
        <v>1521650</v>
      </c>
      <c r="D151" s="98">
        <v>1679550</v>
      </c>
      <c r="E151" s="98">
        <v>1062290</v>
      </c>
      <c r="F151" s="98">
        <v>932013.44</v>
      </c>
      <c r="G151" s="7">
        <f t="shared" si="28"/>
        <v>87.73625281232054</v>
      </c>
      <c r="H151" s="7">
        <f t="shared" si="29"/>
        <v>55.49185436575273</v>
      </c>
      <c r="I151" s="8">
        <f t="shared" si="26"/>
        <v>-130276.56000000006</v>
      </c>
      <c r="J151" s="8">
        <f>F151-D151</f>
        <v>-747536.56</v>
      </c>
      <c r="K151" s="128">
        <v>731509.87</v>
      </c>
      <c r="L151" s="55">
        <f t="shared" si="19"/>
        <v>200503.56999999995</v>
      </c>
      <c r="M151" s="58">
        <f t="shared" si="20"/>
        <v>127.40955087865046</v>
      </c>
    </row>
    <row r="152" spans="1:13" s="10" customFormat="1" ht="24" customHeight="1" hidden="1">
      <c r="A152" s="38" t="s">
        <v>146</v>
      </c>
      <c r="B152" s="17" t="s">
        <v>147</v>
      </c>
      <c r="C152" s="98"/>
      <c r="D152" s="98"/>
      <c r="E152" s="98"/>
      <c r="F152" s="98"/>
      <c r="G152" s="7">
        <f t="shared" si="28"/>
        <v>0</v>
      </c>
      <c r="H152" s="7">
        <f t="shared" si="29"/>
        <v>0</v>
      </c>
      <c r="I152" s="8">
        <f t="shared" si="26"/>
        <v>0</v>
      </c>
      <c r="J152" s="8">
        <f aca="true" t="shared" si="30" ref="J152:J180">F152-D152</f>
        <v>0</v>
      </c>
      <c r="K152" s="110"/>
      <c r="L152" s="55">
        <f t="shared" si="19"/>
        <v>0</v>
      </c>
      <c r="M152" s="58">
        <f t="shared" si="20"/>
        <v>0</v>
      </c>
    </row>
    <row r="153" spans="1:13" s="10" customFormat="1" ht="20.25" customHeight="1">
      <c r="A153" s="38" t="s">
        <v>148</v>
      </c>
      <c r="B153" s="17" t="s">
        <v>149</v>
      </c>
      <c r="C153" s="98">
        <v>520000</v>
      </c>
      <c r="D153" s="98">
        <v>419538</v>
      </c>
      <c r="E153" s="98">
        <v>152538</v>
      </c>
      <c r="F153" s="98">
        <v>102870</v>
      </c>
      <c r="G153" s="7">
        <f t="shared" si="28"/>
        <v>67.43893324941982</v>
      </c>
      <c r="H153" s="7">
        <f t="shared" si="29"/>
        <v>24.51982895470732</v>
      </c>
      <c r="I153" s="8">
        <f t="shared" si="26"/>
        <v>-49668</v>
      </c>
      <c r="J153" s="8">
        <f t="shared" si="30"/>
        <v>-316668</v>
      </c>
      <c r="K153" s="128">
        <v>147225</v>
      </c>
      <c r="L153" s="55">
        <f t="shared" si="19"/>
        <v>-44355</v>
      </c>
      <c r="M153" s="58">
        <f t="shared" si="20"/>
        <v>69.872643912379</v>
      </c>
    </row>
    <row r="154" spans="1:13" s="32" customFormat="1" ht="18.75" customHeight="1">
      <c r="A154" s="37" t="s">
        <v>75</v>
      </c>
      <c r="B154" s="16" t="s">
        <v>23</v>
      </c>
      <c r="C154" s="97">
        <f>C155</f>
        <v>440000</v>
      </c>
      <c r="D154" s="97">
        <f>D155</f>
        <v>440000</v>
      </c>
      <c r="E154" s="97">
        <f>E155</f>
        <v>190000</v>
      </c>
      <c r="F154" s="97">
        <f>F155</f>
        <v>176088.41</v>
      </c>
      <c r="G154" s="46">
        <f t="shared" si="28"/>
        <v>92.67811052631579</v>
      </c>
      <c r="H154" s="46">
        <f t="shared" si="29"/>
        <v>40.02009318181818</v>
      </c>
      <c r="I154" s="30">
        <f t="shared" si="26"/>
        <v>-13911.589999999997</v>
      </c>
      <c r="J154" s="30">
        <f t="shared" si="30"/>
        <v>-263911.58999999997</v>
      </c>
      <c r="K154" s="118">
        <f>K155</f>
        <v>208717.94</v>
      </c>
      <c r="L154" s="119">
        <f t="shared" si="19"/>
        <v>-32629.53</v>
      </c>
      <c r="M154" s="120">
        <f t="shared" si="20"/>
        <v>84.36668644774858</v>
      </c>
    </row>
    <row r="155" spans="1:13" s="10" customFormat="1" ht="33.75" customHeight="1">
      <c r="A155" s="38" t="s">
        <v>76</v>
      </c>
      <c r="B155" s="17" t="s">
        <v>50</v>
      </c>
      <c r="C155" s="98">
        <v>440000</v>
      </c>
      <c r="D155" s="98">
        <v>440000</v>
      </c>
      <c r="E155" s="98">
        <v>190000</v>
      </c>
      <c r="F155" s="98">
        <v>176088.41</v>
      </c>
      <c r="G155" s="7">
        <f t="shared" si="28"/>
        <v>92.67811052631579</v>
      </c>
      <c r="H155" s="7">
        <f t="shared" si="29"/>
        <v>40.02009318181818</v>
      </c>
      <c r="I155" s="8">
        <f t="shared" si="26"/>
        <v>-13911.589999999997</v>
      </c>
      <c r="J155" s="8">
        <f t="shared" si="30"/>
        <v>-263911.58999999997</v>
      </c>
      <c r="K155" s="128">
        <v>208717.94</v>
      </c>
      <c r="L155" s="55">
        <f t="shared" si="19"/>
        <v>-32629.53</v>
      </c>
      <c r="M155" s="58">
        <f t="shared" si="20"/>
        <v>84.36668644774858</v>
      </c>
    </row>
    <row r="156" spans="1:13" s="32" customFormat="1" ht="26.25" customHeight="1">
      <c r="A156" s="37" t="s">
        <v>150</v>
      </c>
      <c r="B156" s="19" t="s">
        <v>151</v>
      </c>
      <c r="C156" s="97">
        <f>C159+C157+C158</f>
        <v>10803000</v>
      </c>
      <c r="D156" s="97">
        <f>D159+D157+D158</f>
        <v>9943500</v>
      </c>
      <c r="E156" s="97">
        <f>E159+E157+E158</f>
        <v>5718497</v>
      </c>
      <c r="F156" s="97">
        <f>F159+F157+F158</f>
        <v>5569701.37</v>
      </c>
      <c r="G156" s="46">
        <f t="shared" si="28"/>
        <v>97.39799408830677</v>
      </c>
      <c r="H156" s="46">
        <f t="shared" si="29"/>
        <v>56.01348991803691</v>
      </c>
      <c r="I156" s="30">
        <f t="shared" si="26"/>
        <v>-148795.6299999999</v>
      </c>
      <c r="J156" s="30">
        <f t="shared" si="30"/>
        <v>-4373798.63</v>
      </c>
      <c r="K156" s="118">
        <f>K157+K158+K159</f>
        <v>5765147.05</v>
      </c>
      <c r="L156" s="119">
        <f t="shared" si="19"/>
        <v>-195445.6799999997</v>
      </c>
      <c r="M156" s="120">
        <f t="shared" si="20"/>
        <v>96.60987519823975</v>
      </c>
    </row>
    <row r="157" spans="1:13" s="10" customFormat="1" ht="26.25" customHeight="1">
      <c r="A157" s="38" t="s">
        <v>152</v>
      </c>
      <c r="B157" s="17" t="s">
        <v>155</v>
      </c>
      <c r="C157" s="98">
        <v>435000</v>
      </c>
      <c r="D157" s="98">
        <v>131000</v>
      </c>
      <c r="E157" s="98">
        <v>55000</v>
      </c>
      <c r="F157" s="98">
        <v>42061.92</v>
      </c>
      <c r="G157" s="7">
        <f t="shared" si="28"/>
        <v>76.47621818181818</v>
      </c>
      <c r="H157" s="7">
        <f t="shared" si="29"/>
        <v>32.108335877862594</v>
      </c>
      <c r="I157" s="8">
        <f t="shared" si="26"/>
        <v>-12938.080000000002</v>
      </c>
      <c r="J157" s="8">
        <f t="shared" si="30"/>
        <v>-88938.08</v>
      </c>
      <c r="K157" s="128">
        <v>265285.83</v>
      </c>
      <c r="L157" s="55">
        <f t="shared" si="19"/>
        <v>-223223.91000000003</v>
      </c>
      <c r="M157" s="58">
        <f t="shared" si="20"/>
        <v>15.855321032412473</v>
      </c>
    </row>
    <row r="158" spans="1:13" s="10" customFormat="1" ht="26.25" customHeight="1">
      <c r="A158" s="38" t="s">
        <v>153</v>
      </c>
      <c r="B158" s="25" t="s">
        <v>156</v>
      </c>
      <c r="C158" s="98">
        <v>9684000</v>
      </c>
      <c r="D158" s="98">
        <v>9128500</v>
      </c>
      <c r="E158" s="98">
        <v>5207497</v>
      </c>
      <c r="F158" s="98">
        <v>5071639.45</v>
      </c>
      <c r="G158" s="7">
        <f t="shared" si="28"/>
        <v>97.39111611586142</v>
      </c>
      <c r="H158" s="7">
        <f t="shared" si="29"/>
        <v>55.55830037793723</v>
      </c>
      <c r="I158" s="8">
        <f t="shared" si="26"/>
        <v>-135857.5499999998</v>
      </c>
      <c r="J158" s="8">
        <f t="shared" si="30"/>
        <v>-4056860.55</v>
      </c>
      <c r="K158" s="128">
        <v>5127861.22</v>
      </c>
      <c r="L158" s="55">
        <f t="shared" si="19"/>
        <v>-56221.76999999955</v>
      </c>
      <c r="M158" s="58">
        <f t="shared" si="20"/>
        <v>98.90360195824489</v>
      </c>
    </row>
    <row r="159" spans="1:13" s="10" customFormat="1" ht="91.5" customHeight="1">
      <c r="A159" s="38" t="s">
        <v>154</v>
      </c>
      <c r="B159" s="17" t="s">
        <v>157</v>
      </c>
      <c r="C159" s="98">
        <v>684000</v>
      </c>
      <c r="D159" s="98">
        <v>684000</v>
      </c>
      <c r="E159" s="98">
        <v>456000</v>
      </c>
      <c r="F159" s="98">
        <v>456000</v>
      </c>
      <c r="G159" s="7">
        <f t="shared" si="28"/>
        <v>100</v>
      </c>
      <c r="H159" s="7">
        <f t="shared" si="29"/>
        <v>66.66666666666667</v>
      </c>
      <c r="I159" s="8">
        <f t="shared" si="26"/>
        <v>0</v>
      </c>
      <c r="J159" s="8">
        <f t="shared" si="30"/>
        <v>-228000</v>
      </c>
      <c r="K159" s="128">
        <v>372000</v>
      </c>
      <c r="L159" s="55">
        <f t="shared" si="19"/>
        <v>84000</v>
      </c>
      <c r="M159" s="58">
        <f t="shared" si="20"/>
        <v>122.58064516129032</v>
      </c>
    </row>
    <row r="160" spans="1:13" s="32" customFormat="1" ht="24" customHeight="1">
      <c r="A160" s="37" t="s">
        <v>158</v>
      </c>
      <c r="B160" s="26" t="s">
        <v>159</v>
      </c>
      <c r="C160" s="97">
        <f>C162+C163+C165+C164+C161</f>
        <v>950000</v>
      </c>
      <c r="D160" s="97">
        <f>D162+D163+D165+D164+D161</f>
        <v>805000</v>
      </c>
      <c r="E160" s="97">
        <f>E162+E163+E165+E164+E161</f>
        <v>467600</v>
      </c>
      <c r="F160" s="97">
        <f>F162+F163+F165+F164+F161</f>
        <v>453115.28</v>
      </c>
      <c r="G160" s="46">
        <f t="shared" si="28"/>
        <v>96.9023267750214</v>
      </c>
      <c r="H160" s="46">
        <f aca="true" t="shared" si="31" ref="H160:H197">IF(D160=0,0,F160/D160%)</f>
        <v>56.287612422360255</v>
      </c>
      <c r="I160" s="30">
        <f t="shared" si="26"/>
        <v>-14484.719999999972</v>
      </c>
      <c r="J160" s="30">
        <f t="shared" si="30"/>
        <v>-351884.72</v>
      </c>
      <c r="K160" s="118">
        <f>K162+K163+K164+K165+K161</f>
        <v>184742</v>
      </c>
      <c r="L160" s="119">
        <f t="shared" si="19"/>
        <v>268373.28</v>
      </c>
      <c r="M160" s="120">
        <f t="shared" si="20"/>
        <v>245.26922952008746</v>
      </c>
    </row>
    <row r="161" spans="1:13" s="10" customFormat="1" ht="24" customHeight="1">
      <c r="A161" s="38" t="s">
        <v>255</v>
      </c>
      <c r="B161" s="25" t="s">
        <v>256</v>
      </c>
      <c r="C161" s="98"/>
      <c r="D161" s="98">
        <v>200000</v>
      </c>
      <c r="E161" s="98">
        <v>100000</v>
      </c>
      <c r="F161" s="98">
        <v>90388.28</v>
      </c>
      <c r="G161" s="7">
        <f t="shared" si="28"/>
        <v>90.38828</v>
      </c>
      <c r="H161" s="7">
        <f t="shared" si="31"/>
        <v>45.19414</v>
      </c>
      <c r="I161" s="8">
        <f t="shared" si="26"/>
        <v>-9611.720000000001</v>
      </c>
      <c r="J161" s="8">
        <f t="shared" si="30"/>
        <v>-109611.72</v>
      </c>
      <c r="K161" s="110"/>
      <c r="L161" s="55">
        <f t="shared" si="19"/>
        <v>0</v>
      </c>
      <c r="M161" s="58">
        <f t="shared" si="20"/>
        <v>0</v>
      </c>
    </row>
    <row r="162" spans="1:13" s="10" customFormat="1" ht="40.5" customHeight="1" hidden="1">
      <c r="A162" s="38" t="s">
        <v>161</v>
      </c>
      <c r="B162" s="17" t="s">
        <v>165</v>
      </c>
      <c r="C162" s="98"/>
      <c r="D162" s="98"/>
      <c r="E162" s="98"/>
      <c r="F162" s="98"/>
      <c r="G162" s="7">
        <f t="shared" si="28"/>
        <v>0</v>
      </c>
      <c r="H162" s="7">
        <f t="shared" si="31"/>
        <v>0</v>
      </c>
      <c r="I162" s="8">
        <f t="shared" si="26"/>
        <v>0</v>
      </c>
      <c r="J162" s="8">
        <f t="shared" si="30"/>
        <v>0</v>
      </c>
      <c r="K162" s="110"/>
      <c r="L162" s="55">
        <f t="shared" si="19"/>
        <v>0</v>
      </c>
      <c r="M162" s="58">
        <f t="shared" si="20"/>
        <v>0</v>
      </c>
    </row>
    <row r="163" spans="1:13" s="10" customFormat="1" ht="24" customHeight="1" hidden="1">
      <c r="A163" s="38" t="s">
        <v>162</v>
      </c>
      <c r="B163" s="17" t="s">
        <v>166</v>
      </c>
      <c r="C163" s="98"/>
      <c r="D163" s="98"/>
      <c r="E163" s="98"/>
      <c r="F163" s="98"/>
      <c r="G163" s="7">
        <f t="shared" si="28"/>
        <v>0</v>
      </c>
      <c r="H163" s="7">
        <f t="shared" si="31"/>
        <v>0</v>
      </c>
      <c r="I163" s="8">
        <f t="shared" si="26"/>
        <v>0</v>
      </c>
      <c r="J163" s="8">
        <f t="shared" si="30"/>
        <v>0</v>
      </c>
      <c r="K163" s="110"/>
      <c r="L163" s="55">
        <f t="shared" si="19"/>
        <v>0</v>
      </c>
      <c r="M163" s="58">
        <f t="shared" si="20"/>
        <v>0</v>
      </c>
    </row>
    <row r="164" spans="1:13" s="10" customFormat="1" ht="41.25" customHeight="1">
      <c r="A164" s="38" t="s">
        <v>212</v>
      </c>
      <c r="B164" s="17" t="s">
        <v>228</v>
      </c>
      <c r="C164" s="98">
        <v>930000</v>
      </c>
      <c r="D164" s="98">
        <v>585000</v>
      </c>
      <c r="E164" s="98">
        <v>351000</v>
      </c>
      <c r="F164" s="98">
        <v>347127</v>
      </c>
      <c r="G164" s="7">
        <f t="shared" si="28"/>
        <v>98.8965811965812</v>
      </c>
      <c r="H164" s="7">
        <f t="shared" si="31"/>
        <v>59.33794871794872</v>
      </c>
      <c r="I164" s="8">
        <f t="shared" si="26"/>
        <v>-3873</v>
      </c>
      <c r="J164" s="8">
        <f t="shared" si="30"/>
        <v>-237873</v>
      </c>
      <c r="K164" s="128">
        <v>182634</v>
      </c>
      <c r="L164" s="55">
        <f t="shared" si="19"/>
        <v>164493</v>
      </c>
      <c r="M164" s="58">
        <f t="shared" si="20"/>
        <v>190.06701928447058</v>
      </c>
    </row>
    <row r="165" spans="1:13" s="10" customFormat="1" ht="24" customHeight="1">
      <c r="A165" s="38" t="s">
        <v>204</v>
      </c>
      <c r="B165" s="17" t="s">
        <v>205</v>
      </c>
      <c r="C165" s="98">
        <v>20000</v>
      </c>
      <c r="D165" s="98">
        <v>20000</v>
      </c>
      <c r="E165" s="98">
        <v>16600</v>
      </c>
      <c r="F165" s="98">
        <v>15600</v>
      </c>
      <c r="G165" s="7">
        <f t="shared" si="28"/>
        <v>93.97590361445783</v>
      </c>
      <c r="H165" s="7">
        <f t="shared" si="31"/>
        <v>78</v>
      </c>
      <c r="I165" s="8">
        <f t="shared" si="26"/>
        <v>-1000</v>
      </c>
      <c r="J165" s="8">
        <f t="shared" si="30"/>
        <v>-4400</v>
      </c>
      <c r="K165" s="128">
        <v>2108</v>
      </c>
      <c r="L165" s="55">
        <f t="shared" si="19"/>
        <v>13492</v>
      </c>
      <c r="M165" s="58">
        <f t="shared" si="20"/>
        <v>740.0379506641366</v>
      </c>
    </row>
    <row r="166" spans="1:13" s="10" customFormat="1" ht="18.75" customHeight="1">
      <c r="A166" s="37" t="s">
        <v>168</v>
      </c>
      <c r="B166" s="16" t="s">
        <v>11</v>
      </c>
      <c r="C166" s="98">
        <v>300000</v>
      </c>
      <c r="D166" s="98">
        <v>192000</v>
      </c>
      <c r="E166" s="98"/>
      <c r="F166" s="98"/>
      <c r="G166" s="7">
        <f t="shared" si="28"/>
        <v>0</v>
      </c>
      <c r="H166" s="7">
        <f t="shared" si="31"/>
        <v>0</v>
      </c>
      <c r="I166" s="8">
        <f>F166-E166</f>
        <v>0</v>
      </c>
      <c r="J166" s="8">
        <f t="shared" si="30"/>
        <v>-192000</v>
      </c>
      <c r="K166" s="110"/>
      <c r="L166" s="55">
        <f t="shared" si="19"/>
        <v>0</v>
      </c>
      <c r="M166" s="58">
        <f t="shared" si="20"/>
        <v>0</v>
      </c>
    </row>
    <row r="167" spans="1:13" s="10" customFormat="1" ht="18.75" customHeight="1">
      <c r="A167" s="37" t="s">
        <v>224</v>
      </c>
      <c r="B167" s="16" t="s">
        <v>225</v>
      </c>
      <c r="C167" s="98">
        <v>22300</v>
      </c>
      <c r="D167" s="98">
        <v>22300</v>
      </c>
      <c r="E167" s="98">
        <v>15200</v>
      </c>
      <c r="F167" s="98">
        <v>15200</v>
      </c>
      <c r="G167" s="7">
        <f t="shared" si="28"/>
        <v>100</v>
      </c>
      <c r="H167" s="7">
        <f t="shared" si="31"/>
        <v>68.16143497757848</v>
      </c>
      <c r="I167" s="8">
        <f>F167-E167</f>
        <v>0</v>
      </c>
      <c r="J167" s="8">
        <f t="shared" si="30"/>
        <v>-7100</v>
      </c>
      <c r="K167" s="110">
        <v>238400</v>
      </c>
      <c r="L167" s="55">
        <f>F167-K167</f>
        <v>-223200</v>
      </c>
      <c r="M167" s="58">
        <f t="shared" si="20"/>
        <v>6.375838926174497</v>
      </c>
    </row>
    <row r="168" spans="1:13" s="10" customFormat="1" ht="51.75" customHeight="1">
      <c r="A168" s="37" t="s">
        <v>169</v>
      </c>
      <c r="B168" s="16" t="s">
        <v>171</v>
      </c>
      <c r="C168" s="98">
        <v>200000</v>
      </c>
      <c r="D168" s="98">
        <v>200000</v>
      </c>
      <c r="E168" s="98">
        <v>200000</v>
      </c>
      <c r="F168" s="98">
        <v>199999</v>
      </c>
      <c r="G168" s="7">
        <f t="shared" si="28"/>
        <v>99.9995</v>
      </c>
      <c r="H168" s="7">
        <f t="shared" si="31"/>
        <v>99.9995</v>
      </c>
      <c r="I168" s="8">
        <f>F168-E168</f>
        <v>-1</v>
      </c>
      <c r="J168" s="8">
        <f t="shared" si="30"/>
        <v>-1</v>
      </c>
      <c r="K168" s="128">
        <v>400000</v>
      </c>
      <c r="L168" s="55">
        <f>F168-K168</f>
        <v>-200001</v>
      </c>
      <c r="M168" s="58">
        <f t="shared" si="20"/>
        <v>49.99975</v>
      </c>
    </row>
    <row r="169" spans="1:13" s="10" customFormat="1" ht="30.75" customHeight="1">
      <c r="A169" s="37" t="s">
        <v>170</v>
      </c>
      <c r="B169" s="40" t="s">
        <v>113</v>
      </c>
      <c r="C169" s="98">
        <v>77220</v>
      </c>
      <c r="D169" s="98">
        <v>147220</v>
      </c>
      <c r="E169" s="98">
        <v>95000</v>
      </c>
      <c r="F169" s="98">
        <v>5000</v>
      </c>
      <c r="G169" s="7">
        <f t="shared" si="28"/>
        <v>5.2631578947368425</v>
      </c>
      <c r="H169" s="7">
        <f t="shared" si="31"/>
        <v>3.3962776796630894</v>
      </c>
      <c r="I169" s="8">
        <f t="shared" si="26"/>
        <v>-90000</v>
      </c>
      <c r="J169" s="8">
        <f t="shared" si="30"/>
        <v>-142220</v>
      </c>
      <c r="K169" s="128">
        <v>183880</v>
      </c>
      <c r="L169" s="55">
        <f>F169-K169</f>
        <v>-178880</v>
      </c>
      <c r="M169" s="58">
        <f t="shared" si="20"/>
        <v>2.7191646726125738</v>
      </c>
    </row>
    <row r="170" spans="1:13" s="10" customFormat="1" ht="44.25" customHeight="1">
      <c r="A170" s="37" t="s">
        <v>257</v>
      </c>
      <c r="B170" s="16" t="s">
        <v>243</v>
      </c>
      <c r="C170" s="98"/>
      <c r="D170" s="98">
        <v>130000</v>
      </c>
      <c r="E170" s="98">
        <v>76000</v>
      </c>
      <c r="F170" s="98"/>
      <c r="G170" s="7">
        <f t="shared" si="28"/>
        <v>0</v>
      </c>
      <c r="H170" s="7">
        <f t="shared" si="31"/>
        <v>0</v>
      </c>
      <c r="I170" s="8">
        <f t="shared" si="26"/>
        <v>-76000</v>
      </c>
      <c r="J170" s="8">
        <f t="shared" si="30"/>
        <v>-130000</v>
      </c>
      <c r="K170" s="110"/>
      <c r="L170" s="55">
        <f t="shared" si="19"/>
        <v>0</v>
      </c>
      <c r="M170" s="58">
        <f t="shared" si="20"/>
        <v>0</v>
      </c>
    </row>
    <row r="171" spans="1:13" s="10" customFormat="1" ht="44.25" customHeight="1" hidden="1">
      <c r="A171" s="38" t="s">
        <v>34</v>
      </c>
      <c r="B171" s="18" t="s">
        <v>33</v>
      </c>
      <c r="C171" s="98"/>
      <c r="D171" s="98"/>
      <c r="E171" s="98"/>
      <c r="F171" s="98"/>
      <c r="G171" s="7">
        <f t="shared" si="28"/>
        <v>0</v>
      </c>
      <c r="H171" s="7">
        <f t="shared" si="31"/>
        <v>0</v>
      </c>
      <c r="I171" s="8">
        <f t="shared" si="26"/>
        <v>0</v>
      </c>
      <c r="J171" s="8">
        <f t="shared" si="30"/>
        <v>0</v>
      </c>
      <c r="K171" s="110"/>
      <c r="L171" s="55">
        <f t="shared" si="19"/>
        <v>0</v>
      </c>
      <c r="M171" s="58">
        <f t="shared" si="20"/>
        <v>0</v>
      </c>
    </row>
    <row r="172" spans="1:13" s="10" customFormat="1" ht="44.25" customHeight="1" hidden="1">
      <c r="A172" s="38" t="s">
        <v>32</v>
      </c>
      <c r="B172" s="18" t="s">
        <v>31</v>
      </c>
      <c r="C172" s="98"/>
      <c r="D172" s="98"/>
      <c r="E172" s="98"/>
      <c r="F172" s="98"/>
      <c r="G172" s="7">
        <f t="shared" si="28"/>
        <v>0</v>
      </c>
      <c r="H172" s="7">
        <f t="shared" si="31"/>
        <v>0</v>
      </c>
      <c r="I172" s="8">
        <f t="shared" si="26"/>
        <v>0</v>
      </c>
      <c r="J172" s="8">
        <f t="shared" si="30"/>
        <v>0</v>
      </c>
      <c r="K172" s="110"/>
      <c r="L172" s="55">
        <f t="shared" si="19"/>
        <v>0</v>
      </c>
      <c r="M172" s="58">
        <f t="shared" si="20"/>
        <v>0</v>
      </c>
    </row>
    <row r="173" spans="1:13" s="10" customFormat="1" ht="44.25" customHeight="1" hidden="1">
      <c r="A173" s="38" t="s">
        <v>40</v>
      </c>
      <c r="B173" s="41" t="s">
        <v>39</v>
      </c>
      <c r="C173" s="98"/>
      <c r="D173" s="98"/>
      <c r="E173" s="98"/>
      <c r="F173" s="98">
        <v>0</v>
      </c>
      <c r="G173" s="7">
        <f t="shared" si="28"/>
        <v>0</v>
      </c>
      <c r="H173" s="7">
        <f t="shared" si="31"/>
        <v>0</v>
      </c>
      <c r="I173" s="8">
        <f t="shared" si="26"/>
        <v>0</v>
      </c>
      <c r="J173" s="8">
        <f t="shared" si="30"/>
        <v>0</v>
      </c>
      <c r="K173" s="110"/>
      <c r="L173" s="55">
        <f t="shared" si="19"/>
        <v>0</v>
      </c>
      <c r="M173" s="58">
        <f t="shared" si="20"/>
        <v>0</v>
      </c>
    </row>
    <row r="174" spans="1:13" s="32" customFormat="1" ht="44.25" customHeight="1">
      <c r="A174" s="37"/>
      <c r="B174" s="13" t="s">
        <v>12</v>
      </c>
      <c r="C174" s="59">
        <f>C125+C127+C136+C143+C149+C154+C156+C160+C166+C168+C169+C167</f>
        <v>71087750</v>
      </c>
      <c r="D174" s="59">
        <f>D125+D127+D136+D143+D149+D154+D156+D160+D166+D168+D169+D167+D170</f>
        <v>71219562</v>
      </c>
      <c r="E174" s="59">
        <f>E125+E127+E136+E143+E149+E154+E156+E160+E166+E168+E169+E167+E170</f>
        <v>44395296</v>
      </c>
      <c r="F174" s="59">
        <f>F125+F127+F136+F143+F149+F154+F156+F160+F166+F168+F169+F167+F170</f>
        <v>38845525.59</v>
      </c>
      <c r="G174" s="46">
        <f aca="true" t="shared" si="32" ref="G174:G225">IF(E174=0,0,F174/E174%)</f>
        <v>87.49919268473849</v>
      </c>
      <c r="H174" s="46">
        <f t="shared" si="31"/>
        <v>54.54333682928295</v>
      </c>
      <c r="I174" s="30">
        <f t="shared" si="26"/>
        <v>-5549770.409999996</v>
      </c>
      <c r="J174" s="30">
        <f t="shared" si="30"/>
        <v>-32374036.409999996</v>
      </c>
      <c r="K174" s="118">
        <f>K125+K127+K136+K143+K149+K154+K156+K160+K166+K167+K168+K169+K170</f>
        <v>39540586.54000001</v>
      </c>
      <c r="L174" s="119">
        <f t="shared" si="19"/>
        <v>-695060.950000003</v>
      </c>
      <c r="M174" s="120">
        <f t="shared" si="20"/>
        <v>98.2421582206504</v>
      </c>
    </row>
    <row r="175" spans="1:13" s="10" customFormat="1" ht="20.25" customHeight="1">
      <c r="A175" s="38"/>
      <c r="B175" s="14" t="s">
        <v>4</v>
      </c>
      <c r="C175" s="98"/>
      <c r="D175" s="98"/>
      <c r="E175" s="98"/>
      <c r="F175" s="98"/>
      <c r="G175" s="7">
        <f t="shared" si="32"/>
        <v>0</v>
      </c>
      <c r="H175" s="7">
        <f t="shared" si="31"/>
        <v>0</v>
      </c>
      <c r="I175" s="30">
        <f aca="true" t="shared" si="33" ref="I175:I221">F175-E175</f>
        <v>0</v>
      </c>
      <c r="J175" s="30">
        <f t="shared" si="30"/>
        <v>0</v>
      </c>
      <c r="K175" s="110"/>
      <c r="L175" s="55">
        <f t="shared" si="19"/>
        <v>0</v>
      </c>
      <c r="M175" s="58">
        <f t="shared" si="20"/>
        <v>0</v>
      </c>
    </row>
    <row r="176" spans="1:13" s="10" customFormat="1" ht="16.5" customHeight="1" hidden="1">
      <c r="A176" s="38" t="s">
        <v>16</v>
      </c>
      <c r="B176" s="18" t="s">
        <v>6</v>
      </c>
      <c r="C176" s="98"/>
      <c r="D176" s="98"/>
      <c r="E176" s="98"/>
      <c r="F176" s="98"/>
      <c r="G176" s="7">
        <f t="shared" si="32"/>
        <v>0</v>
      </c>
      <c r="H176" s="7">
        <f t="shared" si="31"/>
        <v>0</v>
      </c>
      <c r="I176" s="30">
        <f t="shared" si="33"/>
        <v>0</v>
      </c>
      <c r="J176" s="30">
        <f t="shared" si="30"/>
        <v>0</v>
      </c>
      <c r="K176" s="110"/>
      <c r="L176" s="55">
        <f t="shared" si="19"/>
        <v>0</v>
      </c>
      <c r="M176" s="58">
        <f t="shared" si="20"/>
        <v>0</v>
      </c>
    </row>
    <row r="177" spans="1:13" s="10" customFormat="1" ht="16.5" customHeight="1" hidden="1">
      <c r="A177" s="37" t="s">
        <v>16</v>
      </c>
      <c r="B177" s="18" t="s">
        <v>6</v>
      </c>
      <c r="C177" s="98">
        <f aca="true" t="shared" si="34" ref="C177:F178">C179</f>
        <v>0</v>
      </c>
      <c r="D177" s="98">
        <f t="shared" si="34"/>
        <v>0</v>
      </c>
      <c r="E177" s="98">
        <f t="shared" si="34"/>
        <v>0</v>
      </c>
      <c r="F177" s="98">
        <f t="shared" si="34"/>
        <v>0</v>
      </c>
      <c r="G177" s="7">
        <f t="shared" si="32"/>
        <v>0</v>
      </c>
      <c r="H177" s="7">
        <f t="shared" si="31"/>
        <v>0</v>
      </c>
      <c r="I177" s="30">
        <f t="shared" si="33"/>
        <v>0</v>
      </c>
      <c r="J177" s="30">
        <f t="shared" si="30"/>
        <v>0</v>
      </c>
      <c r="K177" s="110"/>
      <c r="L177" s="55">
        <f aca="true" t="shared" si="35" ref="L177:L225">IF(K177=0,0,F177-K177)</f>
        <v>0</v>
      </c>
      <c r="M177" s="58">
        <f aca="true" t="shared" si="36" ref="M177:M225">IF(K177=0,0,F177/K177*100)</f>
        <v>0</v>
      </c>
    </row>
    <row r="178" spans="1:13" s="32" customFormat="1" ht="16.5" customHeight="1">
      <c r="A178" s="37" t="s">
        <v>64</v>
      </c>
      <c r="B178" s="16" t="s">
        <v>6</v>
      </c>
      <c r="C178" s="97">
        <f t="shared" si="34"/>
        <v>17000</v>
      </c>
      <c r="D178" s="97">
        <f t="shared" si="34"/>
        <v>1137445</v>
      </c>
      <c r="E178" s="97">
        <f t="shared" si="34"/>
        <v>566480</v>
      </c>
      <c r="F178" s="97">
        <f t="shared" si="34"/>
        <v>501281</v>
      </c>
      <c r="G178" s="46">
        <f t="shared" si="32"/>
        <v>88.49050275384832</v>
      </c>
      <c r="H178" s="46">
        <f t="shared" si="31"/>
        <v>44.07079023601141</v>
      </c>
      <c r="I178" s="30">
        <f t="shared" si="33"/>
        <v>-65199</v>
      </c>
      <c r="J178" s="30">
        <f t="shared" si="30"/>
        <v>-636164</v>
      </c>
      <c r="K178" s="118">
        <f>K180</f>
        <v>849272.6</v>
      </c>
      <c r="L178" s="119">
        <f>F178-K178</f>
        <v>-347991.6</v>
      </c>
      <c r="M178" s="120">
        <f t="shared" si="36"/>
        <v>59.02474658902218</v>
      </c>
    </row>
    <row r="179" spans="1:13" s="10" customFormat="1" ht="16.5" customHeight="1" hidden="1">
      <c r="A179" s="38" t="s">
        <v>121</v>
      </c>
      <c r="B179" s="17" t="s">
        <v>122</v>
      </c>
      <c r="C179" s="98"/>
      <c r="D179" s="98"/>
      <c r="E179" s="98"/>
      <c r="F179" s="98"/>
      <c r="G179" s="7">
        <f t="shared" si="32"/>
        <v>0</v>
      </c>
      <c r="H179" s="7">
        <f t="shared" si="31"/>
        <v>0</v>
      </c>
      <c r="I179" s="8">
        <f t="shared" si="33"/>
        <v>0</v>
      </c>
      <c r="J179" s="8">
        <f t="shared" si="30"/>
        <v>0</v>
      </c>
      <c r="K179" s="110"/>
      <c r="L179" s="55">
        <f t="shared" si="35"/>
        <v>0</v>
      </c>
      <c r="M179" s="58">
        <f t="shared" si="36"/>
        <v>0</v>
      </c>
    </row>
    <row r="180" spans="1:13" s="10" customFormat="1" ht="60" customHeight="1">
      <c r="A180" s="38" t="s">
        <v>121</v>
      </c>
      <c r="B180" s="17" t="s">
        <v>122</v>
      </c>
      <c r="C180" s="98">
        <v>17000</v>
      </c>
      <c r="D180" s="98">
        <v>1137445</v>
      </c>
      <c r="E180" s="98">
        <v>566480</v>
      </c>
      <c r="F180" s="98">
        <v>501281</v>
      </c>
      <c r="G180" s="7">
        <f t="shared" si="32"/>
        <v>88.49050275384832</v>
      </c>
      <c r="H180" s="7">
        <f t="shared" si="31"/>
        <v>44.07079023601141</v>
      </c>
      <c r="I180" s="8">
        <f t="shared" si="33"/>
        <v>-65199</v>
      </c>
      <c r="J180" s="8">
        <f t="shared" si="30"/>
        <v>-636164</v>
      </c>
      <c r="K180" s="128">
        <v>849272.6</v>
      </c>
      <c r="L180" s="55">
        <f>F180-K180</f>
        <v>-347991.6</v>
      </c>
      <c r="M180" s="58">
        <f t="shared" si="36"/>
        <v>59.02474658902218</v>
      </c>
    </row>
    <row r="181" spans="1:13" s="32" customFormat="1" ht="19.5" customHeight="1">
      <c r="A181" s="37" t="s">
        <v>65</v>
      </c>
      <c r="B181" s="16" t="s">
        <v>7</v>
      </c>
      <c r="C181" s="97">
        <f>C187+C189+C191+C192</f>
        <v>319127</v>
      </c>
      <c r="D181" s="97">
        <f>D187+D189+D191+D192+D190</f>
        <v>4645053</v>
      </c>
      <c r="E181" s="97">
        <f>E187+E189+E191+E192+E190</f>
        <v>3518991</v>
      </c>
      <c r="F181" s="97">
        <f>F187+F189+F191+F192+F190</f>
        <v>1833428.99</v>
      </c>
      <c r="G181" s="46">
        <f t="shared" si="32"/>
        <v>52.10098548134962</v>
      </c>
      <c r="H181" s="46">
        <f t="shared" si="31"/>
        <v>39.470572025765904</v>
      </c>
      <c r="I181" s="30">
        <f t="shared" si="33"/>
        <v>-1685562.01</v>
      </c>
      <c r="J181" s="30">
        <f aca="true" t="shared" si="37" ref="J181:J223">F181-D181</f>
        <v>-2811624.01</v>
      </c>
      <c r="K181" s="118">
        <f>K187+K189+K191+K192+K190</f>
        <v>3594061.02</v>
      </c>
      <c r="L181" s="119">
        <f t="shared" si="35"/>
        <v>-1760632.03</v>
      </c>
      <c r="M181" s="120">
        <f t="shared" si="36"/>
        <v>51.01273962232283</v>
      </c>
    </row>
    <row r="182" spans="1:13" s="10" customFormat="1" ht="12" customHeight="1" hidden="1">
      <c r="A182" s="38" t="s">
        <v>66</v>
      </c>
      <c r="B182" s="39" t="s">
        <v>62</v>
      </c>
      <c r="C182" s="98"/>
      <c r="D182" s="98">
        <v>0</v>
      </c>
      <c r="E182" s="98">
        <v>0</v>
      </c>
      <c r="F182" s="98"/>
      <c r="G182" s="7">
        <f t="shared" si="32"/>
        <v>0</v>
      </c>
      <c r="H182" s="7">
        <f t="shared" si="31"/>
        <v>0</v>
      </c>
      <c r="I182" s="8">
        <f t="shared" si="33"/>
        <v>0</v>
      </c>
      <c r="J182" s="8">
        <f t="shared" si="37"/>
        <v>0</v>
      </c>
      <c r="K182" s="110"/>
      <c r="L182" s="55">
        <f t="shared" si="35"/>
        <v>0</v>
      </c>
      <c r="M182" s="58">
        <f t="shared" si="36"/>
        <v>0</v>
      </c>
    </row>
    <row r="183" spans="1:13" s="10" customFormat="1" ht="13.5" customHeight="1" hidden="1">
      <c r="A183" s="38" t="s">
        <v>25</v>
      </c>
      <c r="B183" s="42" t="s">
        <v>26</v>
      </c>
      <c r="C183" s="98"/>
      <c r="D183" s="98">
        <v>0</v>
      </c>
      <c r="E183" s="98">
        <v>0</v>
      </c>
      <c r="F183" s="98"/>
      <c r="G183" s="7">
        <f t="shared" si="32"/>
        <v>0</v>
      </c>
      <c r="H183" s="7">
        <f t="shared" si="31"/>
        <v>0</v>
      </c>
      <c r="I183" s="8">
        <f t="shared" si="33"/>
        <v>0</v>
      </c>
      <c r="J183" s="8">
        <f t="shared" si="37"/>
        <v>0</v>
      </c>
      <c r="K183" s="110"/>
      <c r="L183" s="55">
        <f t="shared" si="35"/>
        <v>0</v>
      </c>
      <c r="M183" s="58">
        <f t="shared" si="36"/>
        <v>0</v>
      </c>
    </row>
    <row r="184" spans="1:13" s="10" customFormat="1" ht="9.75" customHeight="1" hidden="1">
      <c r="A184" s="38" t="s">
        <v>21</v>
      </c>
      <c r="B184" s="43" t="s">
        <v>22</v>
      </c>
      <c r="C184" s="98"/>
      <c r="D184" s="98"/>
      <c r="E184" s="98"/>
      <c r="F184" s="98"/>
      <c r="G184" s="7">
        <f t="shared" si="32"/>
        <v>0</v>
      </c>
      <c r="H184" s="7">
        <f t="shared" si="31"/>
        <v>0</v>
      </c>
      <c r="I184" s="8">
        <f t="shared" si="33"/>
        <v>0</v>
      </c>
      <c r="J184" s="8">
        <f t="shared" si="37"/>
        <v>0</v>
      </c>
      <c r="K184" s="110"/>
      <c r="L184" s="55">
        <f t="shared" si="35"/>
        <v>0</v>
      </c>
      <c r="M184" s="58">
        <f t="shared" si="36"/>
        <v>0</v>
      </c>
    </row>
    <row r="185" spans="1:13" s="10" customFormat="1" ht="11.25" customHeight="1" hidden="1">
      <c r="A185" s="38"/>
      <c r="B185" s="44"/>
      <c r="C185" s="98"/>
      <c r="D185" s="98"/>
      <c r="E185" s="98"/>
      <c r="F185" s="98"/>
      <c r="G185" s="7">
        <f t="shared" si="32"/>
        <v>0</v>
      </c>
      <c r="H185" s="7">
        <f t="shared" si="31"/>
        <v>0</v>
      </c>
      <c r="I185" s="8">
        <f t="shared" si="33"/>
        <v>0</v>
      </c>
      <c r="J185" s="8">
        <f t="shared" si="37"/>
        <v>0</v>
      </c>
      <c r="K185" s="110"/>
      <c r="L185" s="55">
        <f t="shared" si="35"/>
        <v>0</v>
      </c>
      <c r="M185" s="58">
        <f t="shared" si="36"/>
        <v>0</v>
      </c>
    </row>
    <row r="186" spans="1:13" s="10" customFormat="1" ht="12" customHeight="1" hidden="1">
      <c r="A186" s="9">
        <v>180409</v>
      </c>
      <c r="B186" s="44" t="s">
        <v>29</v>
      </c>
      <c r="C186" s="98"/>
      <c r="D186" s="98"/>
      <c r="E186" s="98"/>
      <c r="F186" s="98"/>
      <c r="G186" s="7">
        <f t="shared" si="32"/>
        <v>0</v>
      </c>
      <c r="H186" s="7">
        <f t="shared" si="31"/>
        <v>0</v>
      </c>
      <c r="I186" s="8">
        <f t="shared" si="33"/>
        <v>0</v>
      </c>
      <c r="J186" s="8">
        <f t="shared" si="37"/>
        <v>0</v>
      </c>
      <c r="K186" s="110"/>
      <c r="L186" s="55">
        <f t="shared" si="35"/>
        <v>0</v>
      </c>
      <c r="M186" s="58">
        <f t="shared" si="36"/>
        <v>0</v>
      </c>
    </row>
    <row r="187" spans="1:13" s="10" customFormat="1" ht="29.25" customHeight="1">
      <c r="A187" s="38" t="s">
        <v>123</v>
      </c>
      <c r="B187" s="18" t="s">
        <v>124</v>
      </c>
      <c r="C187" s="98">
        <v>55000</v>
      </c>
      <c r="D187" s="98">
        <v>55000</v>
      </c>
      <c r="E187" s="98">
        <v>36667</v>
      </c>
      <c r="F187" s="98">
        <v>15196.61</v>
      </c>
      <c r="G187" s="7">
        <f t="shared" si="32"/>
        <v>41.444923227970655</v>
      </c>
      <c r="H187" s="7">
        <f t="shared" si="31"/>
        <v>27.630200000000002</v>
      </c>
      <c r="I187" s="8">
        <f t="shared" si="33"/>
        <v>-21470.39</v>
      </c>
      <c r="J187" s="8">
        <f t="shared" si="37"/>
        <v>-39803.39</v>
      </c>
      <c r="K187" s="128">
        <v>37696.81</v>
      </c>
      <c r="L187" s="55">
        <f>IF(K187=0,0,F187-K187)</f>
        <v>-22500.199999999997</v>
      </c>
      <c r="M187" s="58">
        <f t="shared" si="36"/>
        <v>40.312721421255546</v>
      </c>
    </row>
    <row r="188" spans="1:13" s="10" customFormat="1" ht="31.5" customHeight="1" hidden="1">
      <c r="A188" s="9"/>
      <c r="B188" s="39"/>
      <c r="C188" s="98"/>
      <c r="D188" s="98"/>
      <c r="E188" s="98"/>
      <c r="F188" s="98"/>
      <c r="G188" s="7">
        <f t="shared" si="32"/>
        <v>0</v>
      </c>
      <c r="H188" s="7">
        <f t="shared" si="31"/>
        <v>0</v>
      </c>
      <c r="I188" s="8">
        <f t="shared" si="33"/>
        <v>0</v>
      </c>
      <c r="J188" s="8">
        <f t="shared" si="37"/>
        <v>0</v>
      </c>
      <c r="K188" s="110"/>
      <c r="L188" s="55">
        <f t="shared" si="35"/>
        <v>0</v>
      </c>
      <c r="M188" s="58">
        <f t="shared" si="36"/>
        <v>0</v>
      </c>
    </row>
    <row r="189" spans="1:13" s="10" customFormat="1" ht="57" customHeight="1">
      <c r="A189" s="38" t="s">
        <v>66</v>
      </c>
      <c r="B189" s="39" t="s">
        <v>62</v>
      </c>
      <c r="C189" s="98">
        <v>251100</v>
      </c>
      <c r="D189" s="98">
        <v>4577026</v>
      </c>
      <c r="E189" s="98">
        <v>3473639</v>
      </c>
      <c r="F189" s="98">
        <v>1817982.38</v>
      </c>
      <c r="G189" s="7">
        <f t="shared" si="32"/>
        <v>52.33653756190554</v>
      </c>
      <c r="H189" s="7">
        <f t="shared" si="31"/>
        <v>39.719730235309996</v>
      </c>
      <c r="I189" s="8">
        <f t="shared" si="33"/>
        <v>-1655656.62</v>
      </c>
      <c r="J189" s="8">
        <f t="shared" si="37"/>
        <v>-2759043.62</v>
      </c>
      <c r="K189" s="128">
        <v>3250065.21</v>
      </c>
      <c r="L189" s="55">
        <f t="shared" si="35"/>
        <v>-1432082.83</v>
      </c>
      <c r="M189" s="58">
        <f t="shared" si="36"/>
        <v>55.93679703429704</v>
      </c>
    </row>
    <row r="190" spans="1:13" s="10" customFormat="1" ht="27.75" customHeight="1">
      <c r="A190" s="9">
        <v>1162</v>
      </c>
      <c r="B190" s="39" t="s">
        <v>131</v>
      </c>
      <c r="C190" s="98"/>
      <c r="D190" s="98"/>
      <c r="E190" s="98"/>
      <c r="F190" s="98"/>
      <c r="G190" s="7">
        <f t="shared" si="32"/>
        <v>0</v>
      </c>
      <c r="H190" s="7">
        <f t="shared" si="31"/>
        <v>0</v>
      </c>
      <c r="I190" s="8">
        <f t="shared" si="33"/>
        <v>0</v>
      </c>
      <c r="J190" s="8">
        <f t="shared" si="37"/>
        <v>0</v>
      </c>
      <c r="K190" s="128"/>
      <c r="L190" s="55">
        <f t="shared" si="35"/>
        <v>0</v>
      </c>
      <c r="M190" s="58">
        <f t="shared" si="36"/>
        <v>0</v>
      </c>
    </row>
    <row r="191" spans="1:13" s="10" customFormat="1" ht="39.75" customHeight="1">
      <c r="A191" s="9">
        <v>1100</v>
      </c>
      <c r="B191" s="39" t="s">
        <v>126</v>
      </c>
      <c r="C191" s="98">
        <v>13027</v>
      </c>
      <c r="D191" s="98">
        <v>13027</v>
      </c>
      <c r="E191" s="98">
        <v>8685</v>
      </c>
      <c r="F191" s="98">
        <v>250</v>
      </c>
      <c r="G191" s="7">
        <f t="shared" si="32"/>
        <v>2.878526194588371</v>
      </c>
      <c r="H191" s="7">
        <f t="shared" si="31"/>
        <v>1.9190911184463038</v>
      </c>
      <c r="I191" s="8">
        <f t="shared" si="33"/>
        <v>-8435</v>
      </c>
      <c r="J191" s="8">
        <f t="shared" si="37"/>
        <v>-12777</v>
      </c>
      <c r="K191" s="128">
        <v>7299</v>
      </c>
      <c r="L191" s="55">
        <f t="shared" si="35"/>
        <v>-7049</v>
      </c>
      <c r="M191" s="58">
        <f t="shared" si="36"/>
        <v>3.4251267296889987</v>
      </c>
    </row>
    <row r="192" spans="1:13" s="10" customFormat="1" ht="24" customHeight="1">
      <c r="A192" s="9">
        <v>1170</v>
      </c>
      <c r="B192" s="39" t="s">
        <v>227</v>
      </c>
      <c r="C192" s="98"/>
      <c r="D192" s="98"/>
      <c r="E192" s="98"/>
      <c r="F192" s="98"/>
      <c r="G192" s="7">
        <f t="shared" si="32"/>
        <v>0</v>
      </c>
      <c r="H192" s="7">
        <f t="shared" si="31"/>
        <v>0</v>
      </c>
      <c r="I192" s="8">
        <f t="shared" si="33"/>
        <v>0</v>
      </c>
      <c r="J192" s="8">
        <f t="shared" si="37"/>
        <v>0</v>
      </c>
      <c r="K192" s="128">
        <v>299000</v>
      </c>
      <c r="L192" s="55">
        <f>F192-K192</f>
        <v>-299000</v>
      </c>
      <c r="M192" s="58">
        <f t="shared" si="36"/>
        <v>0</v>
      </c>
    </row>
    <row r="193" spans="1:13" s="32" customFormat="1" ht="20.25" customHeight="1">
      <c r="A193" s="37" t="s">
        <v>68</v>
      </c>
      <c r="B193" s="16" t="s">
        <v>8</v>
      </c>
      <c r="C193" s="97">
        <f>C194+C195</f>
        <v>10000</v>
      </c>
      <c r="D193" s="97">
        <f>D194+D195</f>
        <v>286488</v>
      </c>
      <c r="E193" s="97">
        <f>E194+E195</f>
        <v>283155</v>
      </c>
      <c r="F193" s="97">
        <f>F194+F195</f>
        <v>244080</v>
      </c>
      <c r="G193" s="46">
        <f t="shared" si="32"/>
        <v>86.20013773375005</v>
      </c>
      <c r="H193" s="46">
        <f t="shared" si="31"/>
        <v>85.19728575018848</v>
      </c>
      <c r="I193" s="30">
        <f t="shared" si="33"/>
        <v>-39075</v>
      </c>
      <c r="J193" s="30">
        <f t="shared" si="37"/>
        <v>-42408</v>
      </c>
      <c r="K193" s="118">
        <f>K194+K195</f>
        <v>79845.31</v>
      </c>
      <c r="L193" s="119">
        <f t="shared" si="35"/>
        <v>164234.69</v>
      </c>
      <c r="M193" s="120">
        <f t="shared" si="36"/>
        <v>305.69109193764797</v>
      </c>
    </row>
    <row r="194" spans="1:13" s="10" customFormat="1" ht="20.25" customHeight="1">
      <c r="A194" s="38" t="s">
        <v>69</v>
      </c>
      <c r="B194" s="17" t="s">
        <v>70</v>
      </c>
      <c r="C194" s="98">
        <v>10000</v>
      </c>
      <c r="D194" s="98">
        <v>10000</v>
      </c>
      <c r="E194" s="98">
        <v>6667</v>
      </c>
      <c r="F194" s="98">
        <v>0</v>
      </c>
      <c r="G194" s="7">
        <f t="shared" si="32"/>
        <v>0</v>
      </c>
      <c r="H194" s="7">
        <f t="shared" si="31"/>
        <v>0</v>
      </c>
      <c r="I194" s="8">
        <f t="shared" si="33"/>
        <v>-6667</v>
      </c>
      <c r="J194" s="8">
        <f t="shared" si="37"/>
        <v>-10000</v>
      </c>
      <c r="K194" s="128">
        <v>79845.31</v>
      </c>
      <c r="L194" s="55">
        <f t="shared" si="35"/>
        <v>-79845.31</v>
      </c>
      <c r="M194" s="58">
        <f t="shared" si="36"/>
        <v>0</v>
      </c>
    </row>
    <row r="195" spans="1:13" s="10" customFormat="1" ht="42.75" customHeight="1">
      <c r="A195" s="38" t="s">
        <v>132</v>
      </c>
      <c r="B195" s="17" t="s">
        <v>133</v>
      </c>
      <c r="C195" s="98"/>
      <c r="D195" s="98">
        <v>276488</v>
      </c>
      <c r="E195" s="98">
        <v>276488</v>
      </c>
      <c r="F195" s="98">
        <v>244080</v>
      </c>
      <c r="G195" s="7">
        <f t="shared" si="32"/>
        <v>88.27869563959376</v>
      </c>
      <c r="H195" s="7">
        <f t="shared" si="31"/>
        <v>88.27869563959376</v>
      </c>
      <c r="I195" s="8">
        <f t="shared" si="33"/>
        <v>-32408</v>
      </c>
      <c r="J195" s="8">
        <f t="shared" si="37"/>
        <v>-32408</v>
      </c>
      <c r="K195" s="128"/>
      <c r="L195" s="55">
        <f t="shared" si="35"/>
        <v>0</v>
      </c>
      <c r="M195" s="58">
        <f t="shared" si="36"/>
        <v>0</v>
      </c>
    </row>
    <row r="196" spans="1:13" s="32" customFormat="1" ht="24" customHeight="1">
      <c r="A196" s="37" t="s">
        <v>71</v>
      </c>
      <c r="B196" s="16" t="s">
        <v>9</v>
      </c>
      <c r="C196" s="97">
        <f>C197</f>
        <v>0</v>
      </c>
      <c r="D196" s="97">
        <f>D197</f>
        <v>0</v>
      </c>
      <c r="E196" s="97">
        <f>E197</f>
        <v>0</v>
      </c>
      <c r="F196" s="97">
        <f>F197</f>
        <v>39476.86</v>
      </c>
      <c r="G196" s="46">
        <f t="shared" si="32"/>
        <v>0</v>
      </c>
      <c r="H196" s="46">
        <f t="shared" si="31"/>
        <v>0</v>
      </c>
      <c r="I196" s="30">
        <f t="shared" si="33"/>
        <v>39476.86</v>
      </c>
      <c r="J196" s="30">
        <f t="shared" si="37"/>
        <v>39476.86</v>
      </c>
      <c r="K196" s="118">
        <f>K197</f>
        <v>60408.91</v>
      </c>
      <c r="L196" s="119">
        <f t="shared" si="35"/>
        <v>-20932.050000000003</v>
      </c>
      <c r="M196" s="120">
        <f t="shared" si="36"/>
        <v>65.34939961671216</v>
      </c>
    </row>
    <row r="197" spans="1:13" s="10" customFormat="1" ht="21.75" customHeight="1">
      <c r="A197" s="38" t="s">
        <v>138</v>
      </c>
      <c r="B197" s="17" t="s">
        <v>139</v>
      </c>
      <c r="C197" s="98"/>
      <c r="D197" s="98"/>
      <c r="E197" s="98"/>
      <c r="F197" s="98">
        <v>39476.86</v>
      </c>
      <c r="G197" s="7">
        <f t="shared" si="32"/>
        <v>0</v>
      </c>
      <c r="H197" s="7">
        <f t="shared" si="31"/>
        <v>0</v>
      </c>
      <c r="I197" s="8"/>
      <c r="J197" s="8">
        <f t="shared" si="37"/>
        <v>39476.86</v>
      </c>
      <c r="K197" s="110">
        <v>60408.91</v>
      </c>
      <c r="L197" s="55">
        <f t="shared" si="35"/>
        <v>-20932.050000000003</v>
      </c>
      <c r="M197" s="58">
        <f t="shared" si="36"/>
        <v>65.34939961671216</v>
      </c>
    </row>
    <row r="198" spans="1:13" s="32" customFormat="1" ht="21" customHeight="1">
      <c r="A198" s="37" t="s">
        <v>72</v>
      </c>
      <c r="B198" s="16" t="s">
        <v>10</v>
      </c>
      <c r="C198" s="97">
        <f>C199</f>
        <v>0</v>
      </c>
      <c r="D198" s="97">
        <f>D199</f>
        <v>334012</v>
      </c>
      <c r="E198" s="97">
        <f>E199</f>
        <v>327012</v>
      </c>
      <c r="F198" s="97">
        <f>F199</f>
        <v>299000</v>
      </c>
      <c r="G198" s="46">
        <f t="shared" si="32"/>
        <v>91.43395349406138</v>
      </c>
      <c r="H198" s="46">
        <f aca="true" t="shared" si="38" ref="H198:H225">IF(D198=0,0,F198/D198%)</f>
        <v>89.51774187753733</v>
      </c>
      <c r="I198" s="30">
        <f t="shared" si="33"/>
        <v>-28012</v>
      </c>
      <c r="J198" s="30">
        <f t="shared" si="37"/>
        <v>-35012</v>
      </c>
      <c r="K198" s="118">
        <f>K199</f>
        <v>91993</v>
      </c>
      <c r="L198" s="119">
        <f t="shared" si="35"/>
        <v>207007</v>
      </c>
      <c r="M198" s="120">
        <f t="shared" si="36"/>
        <v>325.0247301425108</v>
      </c>
    </row>
    <row r="199" spans="1:13" s="10" customFormat="1" ht="39.75" customHeight="1">
      <c r="A199" s="38" t="s">
        <v>74</v>
      </c>
      <c r="B199" s="17" t="s">
        <v>145</v>
      </c>
      <c r="C199" s="98"/>
      <c r="D199" s="98">
        <v>334012</v>
      </c>
      <c r="E199" s="98">
        <v>327012</v>
      </c>
      <c r="F199" s="98">
        <v>299000</v>
      </c>
      <c r="G199" s="7">
        <f t="shared" si="32"/>
        <v>91.43395349406138</v>
      </c>
      <c r="H199" s="7">
        <f t="shared" si="38"/>
        <v>89.51774187753733</v>
      </c>
      <c r="I199" s="8">
        <f t="shared" si="33"/>
        <v>-28012</v>
      </c>
      <c r="J199" s="8">
        <f t="shared" si="37"/>
        <v>-35012</v>
      </c>
      <c r="K199" s="110">
        <v>91993</v>
      </c>
      <c r="L199" s="55">
        <f t="shared" si="35"/>
        <v>207007</v>
      </c>
      <c r="M199" s="58">
        <f t="shared" si="36"/>
        <v>325.0247301425108</v>
      </c>
    </row>
    <row r="200" spans="1:13" s="32" customFormat="1" ht="39.75" customHeight="1">
      <c r="A200" s="37" t="s">
        <v>75</v>
      </c>
      <c r="B200" s="19" t="s">
        <v>23</v>
      </c>
      <c r="C200" s="97">
        <f>C201</f>
        <v>0</v>
      </c>
      <c r="D200" s="97">
        <f>D201</f>
        <v>76090</v>
      </c>
      <c r="E200" s="97">
        <f>E201</f>
        <v>76090</v>
      </c>
      <c r="F200" s="97">
        <f>F201</f>
        <v>80095</v>
      </c>
      <c r="G200" s="46">
        <f t="shared" si="32"/>
        <v>105.26350374556446</v>
      </c>
      <c r="H200" s="46">
        <f t="shared" si="38"/>
        <v>105.26350374556446</v>
      </c>
      <c r="I200" s="30">
        <f t="shared" si="33"/>
        <v>4005</v>
      </c>
      <c r="J200" s="30">
        <f t="shared" si="37"/>
        <v>4005</v>
      </c>
      <c r="K200" s="118">
        <f>K201</f>
        <v>0</v>
      </c>
      <c r="L200" s="119">
        <f t="shared" si="35"/>
        <v>0</v>
      </c>
      <c r="M200" s="120">
        <f t="shared" si="36"/>
        <v>0</v>
      </c>
    </row>
    <row r="201" spans="1:13" s="10" customFormat="1" ht="39.75" customHeight="1">
      <c r="A201" s="38" t="s">
        <v>76</v>
      </c>
      <c r="B201" s="17" t="s">
        <v>50</v>
      </c>
      <c r="C201" s="98"/>
      <c r="D201" s="98">
        <v>76090</v>
      </c>
      <c r="E201" s="98">
        <v>76090</v>
      </c>
      <c r="F201" s="98">
        <v>80095</v>
      </c>
      <c r="G201" s="7">
        <f t="shared" si="32"/>
        <v>105.26350374556446</v>
      </c>
      <c r="H201" s="7">
        <f t="shared" si="38"/>
        <v>105.26350374556446</v>
      </c>
      <c r="I201" s="8">
        <f t="shared" si="33"/>
        <v>4005</v>
      </c>
      <c r="J201" s="8">
        <f t="shared" si="37"/>
        <v>4005</v>
      </c>
      <c r="K201" s="110"/>
      <c r="L201" s="55">
        <f t="shared" si="35"/>
        <v>0</v>
      </c>
      <c r="M201" s="58">
        <f t="shared" si="36"/>
        <v>0</v>
      </c>
    </row>
    <row r="202" spans="1:13" s="32" customFormat="1" ht="24.75" customHeight="1">
      <c r="A202" s="37" t="s">
        <v>150</v>
      </c>
      <c r="B202" s="19" t="s">
        <v>263</v>
      </c>
      <c r="C202" s="97">
        <f>C203+C204+C205</f>
        <v>0</v>
      </c>
      <c r="D202" s="97">
        <f>D203+D204+D205</f>
        <v>1473550</v>
      </c>
      <c r="E202" s="97">
        <f>E203+E204+E205</f>
        <v>1143550</v>
      </c>
      <c r="F202" s="97">
        <f>F203+F204+F205</f>
        <v>1036858</v>
      </c>
      <c r="G202" s="46">
        <f t="shared" si="32"/>
        <v>90.6701062480871</v>
      </c>
      <c r="H202" s="46">
        <f t="shared" si="38"/>
        <v>70.36462963591327</v>
      </c>
      <c r="I202" s="30">
        <f t="shared" si="33"/>
        <v>-106692</v>
      </c>
      <c r="J202" s="30">
        <f t="shared" si="37"/>
        <v>-436692</v>
      </c>
      <c r="K202" s="118">
        <f>K203+K204+K205</f>
        <v>1112287.9</v>
      </c>
      <c r="L202" s="119">
        <f t="shared" si="35"/>
        <v>-75429.8999999999</v>
      </c>
      <c r="M202" s="120">
        <f t="shared" si="36"/>
        <v>93.21849136361189</v>
      </c>
    </row>
    <row r="203" spans="1:13" s="10" customFormat="1" ht="25.5" customHeight="1">
      <c r="A203" s="38" t="s">
        <v>152</v>
      </c>
      <c r="B203" s="17" t="s">
        <v>155</v>
      </c>
      <c r="C203" s="98"/>
      <c r="D203" s="98">
        <v>150000</v>
      </c>
      <c r="E203" s="98"/>
      <c r="F203" s="98"/>
      <c r="G203" s="7"/>
      <c r="H203" s="7"/>
      <c r="I203" s="8"/>
      <c r="J203" s="8"/>
      <c r="K203" s="110"/>
      <c r="L203" s="55"/>
      <c r="M203" s="58"/>
    </row>
    <row r="204" spans="1:13" s="10" customFormat="1" ht="25.5" customHeight="1">
      <c r="A204" s="38" t="s">
        <v>153</v>
      </c>
      <c r="B204" s="25" t="s">
        <v>156</v>
      </c>
      <c r="C204" s="98"/>
      <c r="D204" s="98">
        <v>1323550</v>
      </c>
      <c r="E204" s="98">
        <v>1143550</v>
      </c>
      <c r="F204" s="98">
        <v>1036858</v>
      </c>
      <c r="G204" s="7">
        <f t="shared" si="32"/>
        <v>90.6701062480871</v>
      </c>
      <c r="H204" s="7">
        <f t="shared" si="38"/>
        <v>78.33916361301047</v>
      </c>
      <c r="I204" s="8">
        <f t="shared" si="33"/>
        <v>-106692</v>
      </c>
      <c r="J204" s="8">
        <f t="shared" si="37"/>
        <v>-286692</v>
      </c>
      <c r="K204" s="128">
        <v>1112287.9</v>
      </c>
      <c r="L204" s="55">
        <f t="shared" si="35"/>
        <v>-75429.8999999999</v>
      </c>
      <c r="M204" s="58">
        <f t="shared" si="36"/>
        <v>93.21849136361189</v>
      </c>
    </row>
    <row r="205" spans="1:13" s="10" customFormat="1" ht="73.5" customHeight="1" hidden="1">
      <c r="A205" s="38" t="s">
        <v>206</v>
      </c>
      <c r="B205" s="17" t="s">
        <v>207</v>
      </c>
      <c r="C205" s="98"/>
      <c r="D205" s="98"/>
      <c r="E205" s="98"/>
      <c r="F205" s="98"/>
      <c r="G205" s="7">
        <f t="shared" si="32"/>
        <v>0</v>
      </c>
      <c r="H205" s="7">
        <f t="shared" si="38"/>
        <v>0</v>
      </c>
      <c r="I205" s="8">
        <f t="shared" si="33"/>
        <v>0</v>
      </c>
      <c r="J205" s="8">
        <f t="shared" si="37"/>
        <v>0</v>
      </c>
      <c r="K205" s="110"/>
      <c r="L205" s="55">
        <f t="shared" si="35"/>
        <v>0</v>
      </c>
      <c r="M205" s="58">
        <f t="shared" si="36"/>
        <v>0</v>
      </c>
    </row>
    <row r="206" spans="1:13" s="32" customFormat="1" ht="30.75" customHeight="1">
      <c r="A206" s="37" t="s">
        <v>158</v>
      </c>
      <c r="B206" s="26" t="s">
        <v>159</v>
      </c>
      <c r="C206" s="97">
        <f>C214+C218+C221+C209+C217+C211+C207+C213+C219+C220+C212+C210+C208</f>
        <v>18000</v>
      </c>
      <c r="D206" s="97">
        <f>D214+D218+D221+D209+D217+D211+D207+D213+D219+D220+D212+D210+D208</f>
        <v>2423600</v>
      </c>
      <c r="E206" s="97">
        <f>E214+E218+E221+E209+E217+E211+E207+E213+E219+E220+E212+E210+E208</f>
        <v>1754398</v>
      </c>
      <c r="F206" s="97">
        <f>F214+F218+F221+F209+F217+F211+F207+F213+F219+F220+F212+F210+F208</f>
        <v>1620191</v>
      </c>
      <c r="G206" s="46">
        <f t="shared" si="32"/>
        <v>92.35025347726115</v>
      </c>
      <c r="H206" s="46">
        <f t="shared" si="38"/>
        <v>66.85059415745172</v>
      </c>
      <c r="I206" s="30">
        <f t="shared" si="33"/>
        <v>-134207</v>
      </c>
      <c r="J206" s="30">
        <f t="shared" si="37"/>
        <v>-803409</v>
      </c>
      <c r="K206" s="118">
        <f>K207+K209+K210+K211+K212+K213+K214+K217+K218+K219+K220+K221+K208</f>
        <v>5336769.91</v>
      </c>
      <c r="L206" s="119">
        <f>F206-K206</f>
        <v>-3716578.91</v>
      </c>
      <c r="M206" s="120">
        <f t="shared" si="36"/>
        <v>30.35901916933121</v>
      </c>
    </row>
    <row r="207" spans="1:13" s="10" customFormat="1" ht="38.25" customHeight="1">
      <c r="A207" s="38" t="s">
        <v>208</v>
      </c>
      <c r="B207" s="25" t="s">
        <v>209</v>
      </c>
      <c r="C207" s="98"/>
      <c r="D207" s="98">
        <v>25000</v>
      </c>
      <c r="E207" s="98">
        <v>25000</v>
      </c>
      <c r="F207" s="98">
        <v>17400</v>
      </c>
      <c r="G207" s="7">
        <f t="shared" si="32"/>
        <v>69.6</v>
      </c>
      <c r="H207" s="7">
        <f t="shared" si="38"/>
        <v>69.6</v>
      </c>
      <c r="I207" s="8">
        <f t="shared" si="33"/>
        <v>-7600</v>
      </c>
      <c r="J207" s="8">
        <f t="shared" si="37"/>
        <v>-7600</v>
      </c>
      <c r="K207" s="128">
        <v>15969</v>
      </c>
      <c r="L207" s="55">
        <f t="shared" si="35"/>
        <v>1431</v>
      </c>
      <c r="M207" s="58">
        <f t="shared" si="36"/>
        <v>108.96111215479993</v>
      </c>
    </row>
    <row r="208" spans="1:13" s="10" customFormat="1" ht="38.25" customHeight="1">
      <c r="A208" s="38" t="s">
        <v>255</v>
      </c>
      <c r="B208" s="25" t="s">
        <v>256</v>
      </c>
      <c r="C208" s="98"/>
      <c r="D208" s="98">
        <v>116000</v>
      </c>
      <c r="E208" s="98">
        <v>116000</v>
      </c>
      <c r="F208" s="98"/>
      <c r="G208" s="7"/>
      <c r="H208" s="7"/>
      <c r="I208" s="8"/>
      <c r="J208" s="8"/>
      <c r="K208" s="110"/>
      <c r="L208" s="55"/>
      <c r="M208" s="58"/>
    </row>
    <row r="209" spans="1:13" s="10" customFormat="1" ht="38.25" customHeight="1" hidden="1">
      <c r="A209" s="38" t="s">
        <v>196</v>
      </c>
      <c r="B209" s="25" t="s">
        <v>197</v>
      </c>
      <c r="C209" s="98"/>
      <c r="D209" s="98"/>
      <c r="E209" s="98"/>
      <c r="F209" s="98"/>
      <c r="G209" s="7">
        <f t="shared" si="32"/>
        <v>0</v>
      </c>
      <c r="H209" s="7">
        <f t="shared" si="38"/>
        <v>0</v>
      </c>
      <c r="I209" s="8">
        <f t="shared" si="33"/>
        <v>0</v>
      </c>
      <c r="J209" s="8">
        <f t="shared" si="37"/>
        <v>0</v>
      </c>
      <c r="K209" s="110"/>
      <c r="L209" s="55">
        <f t="shared" si="35"/>
        <v>0</v>
      </c>
      <c r="M209" s="58">
        <f t="shared" si="36"/>
        <v>0</v>
      </c>
    </row>
    <row r="210" spans="1:13" s="10" customFormat="1" ht="38.25" customHeight="1" hidden="1">
      <c r="A210" s="38" t="s">
        <v>234</v>
      </c>
      <c r="B210" s="17" t="s">
        <v>235</v>
      </c>
      <c r="C210" s="98"/>
      <c r="D210" s="98"/>
      <c r="E210" s="98"/>
      <c r="F210" s="98"/>
      <c r="G210" s="7">
        <f t="shared" si="32"/>
        <v>0</v>
      </c>
      <c r="H210" s="7">
        <f t="shared" si="38"/>
        <v>0</v>
      </c>
      <c r="I210" s="8">
        <f t="shared" si="33"/>
        <v>0</v>
      </c>
      <c r="J210" s="8">
        <f t="shared" si="37"/>
        <v>0</v>
      </c>
      <c r="K210" s="110"/>
      <c r="L210" s="55">
        <f t="shared" si="35"/>
        <v>0</v>
      </c>
      <c r="M210" s="58">
        <f t="shared" si="36"/>
        <v>0</v>
      </c>
    </row>
    <row r="211" spans="1:13" s="10" customFormat="1" ht="38.25" customHeight="1">
      <c r="A211" s="38" t="s">
        <v>201</v>
      </c>
      <c r="B211" s="17" t="s">
        <v>202</v>
      </c>
      <c r="C211" s="98"/>
      <c r="D211" s="98"/>
      <c r="E211" s="98"/>
      <c r="F211" s="98"/>
      <c r="G211" s="7">
        <f t="shared" si="32"/>
        <v>0</v>
      </c>
      <c r="H211" s="7">
        <f t="shared" si="38"/>
        <v>0</v>
      </c>
      <c r="I211" s="8">
        <f t="shared" si="33"/>
        <v>0</v>
      </c>
      <c r="J211" s="8">
        <f t="shared" si="37"/>
        <v>0</v>
      </c>
      <c r="K211" s="110">
        <v>1299000</v>
      </c>
      <c r="L211" s="55">
        <f t="shared" si="35"/>
        <v>-1299000</v>
      </c>
      <c r="M211" s="58">
        <f t="shared" si="36"/>
        <v>0</v>
      </c>
    </row>
    <row r="212" spans="1:13" s="10" customFormat="1" ht="38.25" customHeight="1" hidden="1">
      <c r="A212" s="38" t="s">
        <v>218</v>
      </c>
      <c r="B212" s="17" t="s">
        <v>219</v>
      </c>
      <c r="C212" s="98"/>
      <c r="D212" s="98"/>
      <c r="E212" s="98"/>
      <c r="F212" s="98"/>
      <c r="G212" s="7">
        <f t="shared" si="32"/>
        <v>0</v>
      </c>
      <c r="H212" s="7">
        <f t="shared" si="38"/>
        <v>0</v>
      </c>
      <c r="I212" s="8">
        <f t="shared" si="33"/>
        <v>0</v>
      </c>
      <c r="J212" s="8">
        <f t="shared" si="37"/>
        <v>0</v>
      </c>
      <c r="K212" s="110"/>
      <c r="L212" s="55">
        <f t="shared" si="35"/>
        <v>0</v>
      </c>
      <c r="M212" s="58">
        <f t="shared" si="36"/>
        <v>0</v>
      </c>
    </row>
    <row r="213" spans="1:13" s="10" customFormat="1" ht="96" customHeight="1">
      <c r="A213" s="38" t="s">
        <v>210</v>
      </c>
      <c r="B213" s="17" t="s">
        <v>211</v>
      </c>
      <c r="C213" s="98"/>
      <c r="D213" s="98"/>
      <c r="E213" s="98"/>
      <c r="F213" s="98"/>
      <c r="G213" s="7">
        <f t="shared" si="32"/>
        <v>0</v>
      </c>
      <c r="H213" s="7">
        <f t="shared" si="38"/>
        <v>0</v>
      </c>
      <c r="I213" s="8">
        <f t="shared" si="33"/>
        <v>0</v>
      </c>
      <c r="J213" s="8">
        <f t="shared" si="37"/>
        <v>0</v>
      </c>
      <c r="K213" s="110">
        <v>2686379.91</v>
      </c>
      <c r="L213" s="55">
        <f t="shared" si="35"/>
        <v>-2686379.91</v>
      </c>
      <c r="M213" s="58">
        <f t="shared" si="36"/>
        <v>0</v>
      </c>
    </row>
    <row r="214" spans="1:13" s="10" customFormat="1" ht="42.75" customHeight="1" hidden="1">
      <c r="A214" s="38" t="s">
        <v>160</v>
      </c>
      <c r="B214" s="45" t="s">
        <v>164</v>
      </c>
      <c r="C214" s="98"/>
      <c r="D214" s="98"/>
      <c r="E214" s="98"/>
      <c r="F214" s="98"/>
      <c r="G214" s="7">
        <f t="shared" si="32"/>
        <v>0</v>
      </c>
      <c r="H214" s="7">
        <f t="shared" si="38"/>
        <v>0</v>
      </c>
      <c r="I214" s="8">
        <f t="shared" si="33"/>
        <v>0</v>
      </c>
      <c r="J214" s="8">
        <f t="shared" si="37"/>
        <v>0</v>
      </c>
      <c r="K214" s="110"/>
      <c r="L214" s="55">
        <f t="shared" si="35"/>
        <v>0</v>
      </c>
      <c r="M214" s="58">
        <f t="shared" si="36"/>
        <v>0</v>
      </c>
    </row>
    <row r="215" spans="1:13" s="10" customFormat="1" ht="46.5" customHeight="1" hidden="1">
      <c r="A215" s="38" t="s">
        <v>54</v>
      </c>
      <c r="B215" s="18" t="s">
        <v>52</v>
      </c>
      <c r="C215" s="98"/>
      <c r="D215" s="98"/>
      <c r="E215" s="98"/>
      <c r="F215" s="98"/>
      <c r="G215" s="7">
        <f t="shared" si="32"/>
        <v>0</v>
      </c>
      <c r="H215" s="7">
        <f t="shared" si="38"/>
        <v>0</v>
      </c>
      <c r="I215" s="8">
        <f t="shared" si="33"/>
        <v>0</v>
      </c>
      <c r="J215" s="8">
        <f t="shared" si="37"/>
        <v>0</v>
      </c>
      <c r="K215" s="110"/>
      <c r="L215" s="55">
        <f t="shared" si="35"/>
        <v>0</v>
      </c>
      <c r="M215" s="58">
        <f t="shared" si="36"/>
        <v>0</v>
      </c>
    </row>
    <row r="216" spans="1:13" s="10" customFormat="1" ht="17.25" customHeight="1" hidden="1">
      <c r="A216" s="38" t="s">
        <v>27</v>
      </c>
      <c r="B216" s="18" t="s">
        <v>24</v>
      </c>
      <c r="C216" s="98"/>
      <c r="D216" s="98"/>
      <c r="E216" s="98"/>
      <c r="F216" s="98"/>
      <c r="G216" s="7">
        <f t="shared" si="32"/>
        <v>0</v>
      </c>
      <c r="H216" s="7">
        <f t="shared" si="38"/>
        <v>0</v>
      </c>
      <c r="I216" s="8">
        <f t="shared" si="33"/>
        <v>0</v>
      </c>
      <c r="J216" s="8">
        <f t="shared" si="37"/>
        <v>0</v>
      </c>
      <c r="K216" s="110"/>
      <c r="L216" s="55">
        <f t="shared" si="35"/>
        <v>0</v>
      </c>
      <c r="M216" s="58">
        <f t="shared" si="36"/>
        <v>0</v>
      </c>
    </row>
    <row r="217" spans="1:13" s="10" customFormat="1" ht="30.75" customHeight="1">
      <c r="A217" s="38" t="s">
        <v>161</v>
      </c>
      <c r="B217" s="18" t="s">
        <v>165</v>
      </c>
      <c r="C217" s="98"/>
      <c r="D217" s="98">
        <v>9100</v>
      </c>
      <c r="E217" s="98">
        <v>9100</v>
      </c>
      <c r="F217" s="98">
        <v>9000</v>
      </c>
      <c r="G217" s="7">
        <f t="shared" si="32"/>
        <v>98.9010989010989</v>
      </c>
      <c r="H217" s="7">
        <f t="shared" si="38"/>
        <v>98.9010989010989</v>
      </c>
      <c r="I217" s="8">
        <f t="shared" si="33"/>
        <v>-100</v>
      </c>
      <c r="J217" s="8">
        <f t="shared" si="37"/>
        <v>-100</v>
      </c>
      <c r="K217" s="110">
        <v>54691</v>
      </c>
      <c r="L217" s="55">
        <f>F217-K217</f>
        <v>-45691</v>
      </c>
      <c r="M217" s="58">
        <f t="shared" si="36"/>
        <v>16.456089667404143</v>
      </c>
    </row>
    <row r="218" spans="1:13" s="10" customFormat="1" ht="30.75" customHeight="1" hidden="1">
      <c r="A218" s="38" t="s">
        <v>162</v>
      </c>
      <c r="B218" s="17" t="s">
        <v>166</v>
      </c>
      <c r="C218" s="98"/>
      <c r="D218" s="98"/>
      <c r="E218" s="98"/>
      <c r="F218" s="98"/>
      <c r="G218" s="7">
        <f t="shared" si="32"/>
        <v>0</v>
      </c>
      <c r="H218" s="7">
        <f t="shared" si="38"/>
        <v>0</v>
      </c>
      <c r="I218" s="8">
        <f t="shared" si="33"/>
        <v>0</v>
      </c>
      <c r="J218" s="8">
        <f t="shared" si="37"/>
        <v>0</v>
      </c>
      <c r="K218" s="110"/>
      <c r="L218" s="55">
        <f t="shared" si="35"/>
        <v>0</v>
      </c>
      <c r="M218" s="58">
        <f t="shared" si="36"/>
        <v>0</v>
      </c>
    </row>
    <row r="219" spans="1:13" s="10" customFormat="1" ht="40.5" customHeight="1">
      <c r="A219" s="38" t="s">
        <v>212</v>
      </c>
      <c r="B219" s="17" t="s">
        <v>214</v>
      </c>
      <c r="C219" s="98"/>
      <c r="D219" s="98">
        <v>1350000</v>
      </c>
      <c r="E219" s="98">
        <v>1294298</v>
      </c>
      <c r="F219" s="98">
        <v>1294298</v>
      </c>
      <c r="G219" s="7">
        <f t="shared" si="32"/>
        <v>100</v>
      </c>
      <c r="H219" s="7">
        <f t="shared" si="38"/>
        <v>95.87392592592593</v>
      </c>
      <c r="I219" s="8">
        <f t="shared" si="33"/>
        <v>0</v>
      </c>
      <c r="J219" s="8">
        <f t="shared" si="37"/>
        <v>-55702</v>
      </c>
      <c r="K219" s="110">
        <v>1280730</v>
      </c>
      <c r="L219" s="55">
        <f t="shared" si="35"/>
        <v>13568</v>
      </c>
      <c r="M219" s="58">
        <f t="shared" si="36"/>
        <v>101.05939581332521</v>
      </c>
    </row>
    <row r="220" spans="1:13" s="10" customFormat="1" ht="54.75" customHeight="1">
      <c r="A220" s="38" t="s">
        <v>213</v>
      </c>
      <c r="B220" s="17" t="s">
        <v>258</v>
      </c>
      <c r="C220" s="98"/>
      <c r="D220" s="98">
        <v>905500</v>
      </c>
      <c r="E220" s="98">
        <v>300000</v>
      </c>
      <c r="F220" s="98">
        <v>299493</v>
      </c>
      <c r="G220" s="7">
        <f t="shared" si="32"/>
        <v>99.831</v>
      </c>
      <c r="H220" s="7">
        <f t="shared" si="38"/>
        <v>33.07487575924903</v>
      </c>
      <c r="I220" s="8">
        <f t="shared" si="33"/>
        <v>-507</v>
      </c>
      <c r="J220" s="8">
        <f t="shared" si="37"/>
        <v>-606007</v>
      </c>
      <c r="K220" s="110"/>
      <c r="L220" s="55">
        <f t="shared" si="35"/>
        <v>0</v>
      </c>
      <c r="M220" s="58">
        <f t="shared" si="36"/>
        <v>0</v>
      </c>
    </row>
    <row r="221" spans="1:13" s="10" customFormat="1" ht="97.5" customHeight="1">
      <c r="A221" s="38" t="s">
        <v>163</v>
      </c>
      <c r="B221" s="17" t="s">
        <v>167</v>
      </c>
      <c r="C221" s="98">
        <v>18000</v>
      </c>
      <c r="D221" s="98">
        <v>18000</v>
      </c>
      <c r="E221" s="98">
        <v>10000</v>
      </c>
      <c r="F221" s="98"/>
      <c r="G221" s="7">
        <f t="shared" si="32"/>
        <v>0</v>
      </c>
      <c r="H221" s="7">
        <f t="shared" si="38"/>
        <v>0</v>
      </c>
      <c r="I221" s="8">
        <f t="shared" si="33"/>
        <v>-10000</v>
      </c>
      <c r="J221" s="8">
        <f t="shared" si="37"/>
        <v>-18000</v>
      </c>
      <c r="K221" s="110"/>
      <c r="L221" s="55">
        <f t="shared" si="35"/>
        <v>0</v>
      </c>
      <c r="M221" s="58">
        <f t="shared" si="36"/>
        <v>0</v>
      </c>
    </row>
    <row r="222" spans="1:13" s="10" customFormat="1" ht="26.25" customHeight="1">
      <c r="A222" s="38" t="s">
        <v>172</v>
      </c>
      <c r="B222" s="17" t="s">
        <v>173</v>
      </c>
      <c r="C222" s="98">
        <v>70000</v>
      </c>
      <c r="D222" s="98">
        <v>88000</v>
      </c>
      <c r="E222" s="98">
        <v>76500</v>
      </c>
      <c r="F222" s="98">
        <v>49000</v>
      </c>
      <c r="G222" s="7"/>
      <c r="H222" s="7">
        <f t="shared" si="38"/>
        <v>55.68181818181818</v>
      </c>
      <c r="I222" s="8"/>
      <c r="J222" s="8">
        <f t="shared" si="37"/>
        <v>-39000</v>
      </c>
      <c r="K222" s="110">
        <v>75000</v>
      </c>
      <c r="L222" s="55">
        <f t="shared" si="35"/>
        <v>-26000</v>
      </c>
      <c r="M222" s="58">
        <f t="shared" si="36"/>
        <v>65.33333333333333</v>
      </c>
    </row>
    <row r="223" spans="1:13" s="32" customFormat="1" ht="19.5" customHeight="1">
      <c r="A223" s="37"/>
      <c r="B223" s="13" t="s">
        <v>13</v>
      </c>
      <c r="C223" s="59">
        <f>C178+C181+C193+C198+C202+C206+C222+C196+C200</f>
        <v>434127</v>
      </c>
      <c r="D223" s="59">
        <f>D178+D181+D193+D198+D202+D206+D222+D196+D200</f>
        <v>10464238</v>
      </c>
      <c r="E223" s="59">
        <f>E178+E181+E193+E198+E202+E206+E222+E196+E200</f>
        <v>7746176</v>
      </c>
      <c r="F223" s="59">
        <f>F178+F181+F193+F198+F202+F206+F222+F196+F200</f>
        <v>5703410.850000001</v>
      </c>
      <c r="G223" s="46">
        <f t="shared" si="32"/>
        <v>73.6287279039361</v>
      </c>
      <c r="H223" s="46">
        <f t="shared" si="38"/>
        <v>54.50383343727465</v>
      </c>
      <c r="I223" s="30">
        <f>F223-E223</f>
        <v>-2042765.1499999994</v>
      </c>
      <c r="J223" s="30">
        <f t="shared" si="37"/>
        <v>-4760827.149999999</v>
      </c>
      <c r="K223" s="118">
        <f>K222+K206+K202+K196+K193+K181+K178+K198</f>
        <v>11199638.65</v>
      </c>
      <c r="L223" s="119">
        <f t="shared" si="35"/>
        <v>-5496227.8</v>
      </c>
      <c r="M223" s="120">
        <f t="shared" si="36"/>
        <v>50.92495417251699</v>
      </c>
    </row>
    <row r="224" spans="1:13" s="10" customFormat="1" ht="19.5" customHeight="1">
      <c r="A224" s="38"/>
      <c r="B224" s="13" t="s">
        <v>182</v>
      </c>
      <c r="C224" s="59"/>
      <c r="D224" s="59"/>
      <c r="E224" s="59"/>
      <c r="F224" s="59"/>
      <c r="G224" s="7"/>
      <c r="H224" s="7"/>
      <c r="I224" s="30"/>
      <c r="J224" s="30"/>
      <c r="K224" s="110"/>
      <c r="L224" s="55">
        <f t="shared" si="35"/>
        <v>0</v>
      </c>
      <c r="M224" s="58">
        <f t="shared" si="36"/>
        <v>0</v>
      </c>
    </row>
    <row r="225" spans="1:13" s="10" customFormat="1" ht="18" customHeight="1">
      <c r="A225" s="38"/>
      <c r="B225" s="13" t="s">
        <v>14</v>
      </c>
      <c r="C225" s="59">
        <f>C174+C223</f>
        <v>71521877</v>
      </c>
      <c r="D225" s="59">
        <f>D174+D223+D224</f>
        <v>81683800</v>
      </c>
      <c r="E225" s="59">
        <f>E174+E223+E224</f>
        <v>52141472</v>
      </c>
      <c r="F225" s="59">
        <f>F174+F223</f>
        <v>44548936.440000005</v>
      </c>
      <c r="G225" s="7">
        <f t="shared" si="32"/>
        <v>85.43858608364567</v>
      </c>
      <c r="H225" s="7">
        <f t="shared" si="38"/>
        <v>54.53827618205814</v>
      </c>
      <c r="I225" s="30">
        <f>F225-E225</f>
        <v>-7592535.559999995</v>
      </c>
      <c r="J225" s="30">
        <f>F225-D225</f>
        <v>-37134863.559999995</v>
      </c>
      <c r="K225" s="59">
        <f>K223+K174</f>
        <v>50740225.190000005</v>
      </c>
      <c r="L225" s="55">
        <f t="shared" si="35"/>
        <v>-6191288.75</v>
      </c>
      <c r="M225" s="58">
        <f t="shared" si="36"/>
        <v>87.7980660771285</v>
      </c>
    </row>
    <row r="226" spans="1:13" s="10" customFormat="1" ht="18.75" customHeight="1">
      <c r="A226" s="38"/>
      <c r="B226" s="18" t="s">
        <v>15</v>
      </c>
      <c r="C226" s="60">
        <f>C122-C225</f>
        <v>0</v>
      </c>
      <c r="D226" s="60">
        <f>D122-D225</f>
        <v>-6158678</v>
      </c>
      <c r="E226" s="60">
        <f>E122-E225</f>
        <v>-6558832</v>
      </c>
      <c r="F226" s="60">
        <f>F122-F225</f>
        <v>851997.2899999991</v>
      </c>
      <c r="G226" s="46">
        <f>F226/E226%</f>
        <v>-12.990076434340734</v>
      </c>
      <c r="H226" s="46">
        <f>F226/D226%</f>
        <v>-13.834093777917909</v>
      </c>
      <c r="I226" s="30"/>
      <c r="J226" s="30"/>
      <c r="K226" s="110">
        <f>K122-K225</f>
        <v>2227775.410000004</v>
      </c>
      <c r="L226" s="54">
        <f>F226-K226</f>
        <v>-1375778.1200000048</v>
      </c>
      <c r="M226" s="51"/>
    </row>
    <row r="227" spans="1:11" s="10" customFormat="1" ht="15" customHeight="1">
      <c r="A227" s="47"/>
      <c r="B227" s="48"/>
      <c r="C227" s="100"/>
      <c r="D227" s="100"/>
      <c r="E227" s="100"/>
      <c r="F227" s="100"/>
      <c r="G227" s="5"/>
      <c r="H227" s="5"/>
      <c r="I227" s="5"/>
      <c r="J227" s="5"/>
      <c r="K227" s="101"/>
    </row>
    <row r="228" spans="1:11" s="10" customFormat="1" ht="18" hidden="1">
      <c r="A228" s="47"/>
      <c r="B228" s="5"/>
      <c r="C228" s="100"/>
      <c r="D228" s="100"/>
      <c r="E228" s="100"/>
      <c r="F228" s="100" t="s">
        <v>20</v>
      </c>
      <c r="G228" s="5"/>
      <c r="H228" s="5"/>
      <c r="I228" s="5"/>
      <c r="J228" s="5"/>
      <c r="K228" s="101"/>
    </row>
    <row r="229" spans="1:11" s="10" customFormat="1" ht="18" hidden="1">
      <c r="A229" s="47"/>
      <c r="B229" s="5"/>
      <c r="C229" s="100"/>
      <c r="D229" s="100"/>
      <c r="E229" s="100"/>
      <c r="F229" s="100"/>
      <c r="G229" s="5"/>
      <c r="H229" s="5"/>
      <c r="I229" s="5"/>
      <c r="J229" s="5"/>
      <c r="K229" s="101"/>
    </row>
    <row r="230" spans="1:11" s="10" customFormat="1" ht="18">
      <c r="A230" s="47"/>
      <c r="C230" s="100"/>
      <c r="D230" s="100"/>
      <c r="E230" s="100"/>
      <c r="F230" s="100"/>
      <c r="G230" s="5"/>
      <c r="H230" s="5"/>
      <c r="I230" s="5"/>
      <c r="J230" s="5"/>
      <c r="K230" s="101"/>
    </row>
    <row r="231" spans="1:11" s="10" customFormat="1" ht="18">
      <c r="A231" s="49"/>
      <c r="C231" s="101"/>
      <c r="D231" s="101"/>
      <c r="E231" s="101"/>
      <c r="F231" s="101"/>
      <c r="K231" s="101"/>
    </row>
    <row r="232" spans="1:11" s="10" customFormat="1" ht="18">
      <c r="A232" s="49"/>
      <c r="B232" s="5" t="s">
        <v>245</v>
      </c>
      <c r="C232" s="101"/>
      <c r="D232" s="101"/>
      <c r="E232" s="100" t="s">
        <v>246</v>
      </c>
      <c r="F232" s="101"/>
      <c r="K232" s="101"/>
    </row>
    <row r="233" ht="18">
      <c r="B233" s="5"/>
    </row>
  </sheetData>
  <sheetProtection/>
  <mergeCells count="17">
    <mergeCell ref="K9:M9"/>
    <mergeCell ref="B9:B10"/>
    <mergeCell ref="A6:J6"/>
    <mergeCell ref="F9:F10"/>
    <mergeCell ref="D9:D10"/>
    <mergeCell ref="E9:E10"/>
    <mergeCell ref="C9:C10"/>
    <mergeCell ref="J1:M1"/>
    <mergeCell ref="J2:M2"/>
    <mergeCell ref="J3:M3"/>
    <mergeCell ref="J4:M4"/>
    <mergeCell ref="A5:J5"/>
    <mergeCell ref="A9:A10"/>
    <mergeCell ref="I9:J9"/>
    <mergeCell ref="G9:H9"/>
    <mergeCell ref="A7:J7"/>
    <mergeCell ref="I8:J8"/>
  </mergeCells>
  <printOptions horizontalCentered="1"/>
  <pageMargins left="0.11811023622047245" right="0.07874015748031496" top="0.7874015748031497" bottom="0.3937007874015748" header="0.15748031496062992" footer="0.15748031496062992"/>
  <pageSetup blackAndWhite="1" fitToHeight="11" horizontalDpi="600" verticalDpi="600" orientation="landscape" paperSize="9" scale="50" r:id="rId1"/>
  <headerFooter alignWithMargins="0">
    <oddFooter>&amp;L&amp;8D:\Arbeit\&amp;F&amp;R&amp;8&amp;P</oddFooter>
  </headerFooter>
  <rowBreaks count="1" manualBreakCount="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Чарнота Сергій петрович</dc:creator>
  <cp:keywords/>
  <dc:description/>
  <cp:lastModifiedBy>Frime2</cp:lastModifiedBy>
  <cp:lastPrinted>2020-07-02T10:44:23Z</cp:lastPrinted>
  <dcterms:created xsi:type="dcterms:W3CDTF">2002-06-25T12:18:05Z</dcterms:created>
  <dcterms:modified xsi:type="dcterms:W3CDTF">2020-09-02T12:52:12Z</dcterms:modified>
  <cp:category/>
  <cp:version/>
  <cp:contentType/>
  <cp:contentStatus/>
</cp:coreProperties>
</file>